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nor/Desktop/"/>
    </mc:Choice>
  </mc:AlternateContent>
  <xr:revisionPtr revIDLastSave="0" documentId="13_ncr:1_{37049519-5FE4-534F-BFDD-86A8EFA8E02E}" xr6:coauthVersionLast="47" xr6:coauthVersionMax="47" xr10:uidLastSave="{00000000-0000-0000-0000-000000000000}"/>
  <bookViews>
    <workbookView xWindow="1480" yWindow="620" windowWidth="64040" windowHeight="22800" xr2:uid="{6DA2402B-B694-C941-BB73-8E9CA6FBD6BD}"/>
  </bookViews>
  <sheets>
    <sheet name="Electricidad USAL" sheetId="1" r:id="rId1"/>
  </sheets>
  <definedNames>
    <definedName name="_xlnm.Print_Area" localSheetId="0">'Electricidad USAL'!$A$1:$AO$34</definedName>
    <definedName name="eR_S">'Electricidad USAL'!$P$14:$P$34</definedName>
    <definedName name="eR_T">'Electricidad USAL'!$R$14:$R$34</definedName>
    <definedName name="eRS_Im">'Electricidad USAL'!$AG$14:$AG$34</definedName>
    <definedName name="eRS_Re">'Electricidad USAL'!$AF$14:$AF$34</definedName>
    <definedName name="eRT_Im">'Electricidad USAL'!$AK$14:$AK$34</definedName>
    <definedName name="eRT_Re">'Electricidad USAL'!$AJ$14:$AJ$34</definedName>
    <definedName name="eS_T">'Electricidad USAL'!$Q$14:$Q$34</definedName>
    <definedName name="eST_Im">'Electricidad USAL'!$AI$14:$AI$34</definedName>
    <definedName name="eST_Re">'Electricidad USAL'!$AH$14:$AH$34</definedName>
    <definedName name="FASES">'Electricidad USAL'!$J$14:$J$34</definedName>
    <definedName name="FIN">'Electricidad USAL'!$C$14:$C$34</definedName>
    <definedName name="I_NOM_Im">'Electricidad USAL'!$U$14:$U$34</definedName>
    <definedName name="I_NOM_Re">'Electricidad USAL'!$T$14:$T$34</definedName>
    <definedName name="Imax_RBT">'Electricidad USAL'!$M$40:$Y$58</definedName>
    <definedName name="INI">'Electricidad USAL'!$B$14:$B$34</definedName>
    <definedName name="IR_Im">'Electricidad USAL'!$Z$14:$Z$34</definedName>
    <definedName name="IR_Re">'Electricidad USAL'!$Y$14:$Y$34</definedName>
    <definedName name="IS_Im">'Electricidad USAL'!$AB$14:$AB$34</definedName>
    <definedName name="IS_Re">'Electricidad USAL'!$AA$14:$AA$34</definedName>
    <definedName name="IT_Im">'Electricidad USAL'!$AD$14:$AD$34</definedName>
    <definedName name="IT_Re">'Electricidad USAL'!$AC$14:$AC$34</definedName>
    <definedName name="LONG">'Electricidad USAL'!$I$14:$I$34</definedName>
    <definedName name="P_NOM">'Electricidad USAL'!$E$14:$E$34</definedName>
    <definedName name="PI">'Electricidad USAL'!$J$40</definedName>
    <definedName name="Protecciones">'Electricidad USAL'!$G$40:$H$60</definedName>
    <definedName name="SECC">'Electricidad USAL'!$L$14:$L$34</definedName>
    <definedName name="SECC_NORM">'Electricidad USAL'!$C$40:$C$56</definedName>
    <definedName name="_xlnm.Print_Titles" localSheetId="0">'Electricidad USAL'!$A:$A,'Electricidad USAL'!$11:$14</definedName>
    <definedName name="TUBOS">'Electricidad USAL'!$I$40:$K$54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" i="1" l="1"/>
  <c r="U15" i="1"/>
  <c r="T16" i="1"/>
  <c r="U16" i="1"/>
  <c r="S18" i="1"/>
  <c r="U18" i="1" s="1"/>
  <c r="S19" i="1"/>
  <c r="T19" i="1" s="1"/>
  <c r="S20" i="1"/>
  <c r="T20" i="1" s="1"/>
  <c r="S21" i="1"/>
  <c r="T21" i="1" s="1"/>
  <c r="S22" i="1"/>
  <c r="U22" i="1" s="1"/>
  <c r="S23" i="1"/>
  <c r="T23" i="1" s="1"/>
  <c r="S25" i="1"/>
  <c r="S16" i="1"/>
  <c r="S15" i="1"/>
  <c r="N15" i="1"/>
  <c r="N16" i="1"/>
  <c r="N17" i="1"/>
  <c r="N18" i="1"/>
  <c r="N19" i="1"/>
  <c r="N20" i="1"/>
  <c r="N21" i="1"/>
  <c r="N22" i="1"/>
  <c r="N23" i="1"/>
  <c r="N24" i="1"/>
  <c r="N25" i="1"/>
  <c r="N26" i="1"/>
  <c r="M15" i="1"/>
  <c r="M16" i="1"/>
  <c r="M17" i="1"/>
  <c r="M18" i="1"/>
  <c r="M19" i="1"/>
  <c r="M20" i="1"/>
  <c r="M21" i="1"/>
  <c r="M22" i="1"/>
  <c r="M23" i="1"/>
  <c r="M24" i="1"/>
  <c r="M25" i="1"/>
  <c r="M26" i="1"/>
  <c r="L4" i="1"/>
  <c r="L5" i="1"/>
  <c r="F25" i="1"/>
  <c r="F26" i="1"/>
  <c r="S26" i="1" s="1"/>
  <c r="F24" i="1"/>
  <c r="S24" i="1" s="1"/>
  <c r="U24" i="1" s="1"/>
  <c r="F17" i="1"/>
  <c r="I5" i="1"/>
  <c r="AE16" i="1"/>
  <c r="AE23" i="1"/>
  <c r="B17" i="1"/>
  <c r="B18" i="1"/>
  <c r="B19" i="1"/>
  <c r="B20" i="1"/>
  <c r="B21" i="1"/>
  <c r="B22" i="1"/>
  <c r="B23" i="1"/>
  <c r="B24" i="1"/>
  <c r="B25" i="1"/>
  <c r="B26" i="1"/>
  <c r="AE15" i="1"/>
  <c r="AE17" i="1"/>
  <c r="AE18" i="1"/>
  <c r="AE19" i="1"/>
  <c r="AE20" i="1"/>
  <c r="AE21" i="1"/>
  <c r="AE22" i="1"/>
  <c r="AE24" i="1"/>
  <c r="AE25" i="1"/>
  <c r="AE26" i="1"/>
  <c r="P15" i="1"/>
  <c r="P16" i="1"/>
  <c r="P17" i="1"/>
  <c r="P19" i="1"/>
  <c r="P20" i="1"/>
  <c r="P22" i="1"/>
  <c r="P25" i="1"/>
  <c r="Q15" i="1"/>
  <c r="Q16" i="1"/>
  <c r="Q17" i="1"/>
  <c r="Q20" i="1"/>
  <c r="Q21" i="1"/>
  <c r="Q23" i="1"/>
  <c r="Q26" i="1"/>
  <c r="R15" i="1"/>
  <c r="R16" i="1"/>
  <c r="R18" i="1"/>
  <c r="R19" i="1"/>
  <c r="R21" i="1"/>
  <c r="R22" i="1"/>
  <c r="R24" i="1"/>
  <c r="I4" i="1"/>
  <c r="J4" i="1"/>
  <c r="K4" i="1"/>
  <c r="D10" i="1"/>
  <c r="F10" i="1"/>
  <c r="E10" i="1"/>
  <c r="C10" i="1"/>
  <c r="D6" i="1"/>
  <c r="K5" i="1"/>
  <c r="J5" i="1"/>
  <c r="R17" i="1"/>
  <c r="Y25" i="1" l="1"/>
  <c r="Z18" i="1"/>
  <c r="AB26" i="1"/>
  <c r="AA20" i="1"/>
  <c r="AB22" i="1"/>
  <c r="Y22" i="1"/>
  <c r="Y20" i="1"/>
  <c r="Z25" i="1"/>
  <c r="AA19" i="1"/>
  <c r="T18" i="1"/>
  <c r="Y18" i="1" s="1"/>
  <c r="T25" i="1"/>
  <c r="AA25" i="1" s="1"/>
  <c r="AA21" i="1"/>
  <c r="Y21" i="1"/>
  <c r="Y23" i="1"/>
  <c r="AA23" i="1"/>
  <c r="Z24" i="1"/>
  <c r="AB24" i="1"/>
  <c r="AB18" i="1"/>
  <c r="AA18" i="1"/>
  <c r="U23" i="1"/>
  <c r="Z19" i="1"/>
  <c r="Y19" i="1"/>
  <c r="AB20" i="1"/>
  <c r="T24" i="1"/>
  <c r="Z22" i="1"/>
  <c r="T22" i="1"/>
  <c r="AA22" i="1" s="1"/>
  <c r="U21" i="1"/>
  <c r="U20" i="1"/>
  <c r="Z20" i="1" s="1"/>
  <c r="S17" i="1"/>
  <c r="U17" i="1" s="1"/>
  <c r="U26" i="1"/>
  <c r="Z26" i="1" s="1"/>
  <c r="AA26" i="1"/>
  <c r="T26" i="1"/>
  <c r="Y26" i="1" s="1"/>
  <c r="U25" i="1"/>
  <c r="AB25" i="1" s="1"/>
  <c r="U19" i="1"/>
  <c r="AB19" i="1" s="1"/>
  <c r="M4" i="1"/>
  <c r="M5" i="1"/>
  <c r="Z17" i="1" l="1"/>
  <c r="AB17" i="1"/>
  <c r="Z23" i="1"/>
  <c r="V23" i="1" s="1"/>
  <c r="AB23" i="1"/>
  <c r="W23" i="1" s="1"/>
  <c r="AB21" i="1"/>
  <c r="Z21" i="1"/>
  <c r="T17" i="1"/>
  <c r="AA24" i="1"/>
  <c r="Y24" i="1"/>
  <c r="V24" i="1" s="1"/>
  <c r="V19" i="1"/>
  <c r="AM19" i="1" s="1"/>
  <c r="AC19" i="1"/>
  <c r="AD26" i="1"/>
  <c r="V25" i="1"/>
  <c r="AD20" i="1"/>
  <c r="AD25" i="1"/>
  <c r="V22" i="1"/>
  <c r="AD22" i="1"/>
  <c r="W18" i="1"/>
  <c r="V20" i="1"/>
  <c r="AC21" i="1"/>
  <c r="AD19" i="1"/>
  <c r="AC23" i="1"/>
  <c r="W26" i="1"/>
  <c r="AC20" i="1"/>
  <c r="AC25" i="1"/>
  <c r="V18" i="1"/>
  <c r="AD24" i="1"/>
  <c r="AC18" i="1"/>
  <c r="W19" i="1"/>
  <c r="AC26" i="1"/>
  <c r="W20" i="1"/>
  <c r="W22" i="1"/>
  <c r="AC22" i="1"/>
  <c r="W25" i="1"/>
  <c r="V26" i="1"/>
  <c r="AD17" i="1" l="1"/>
  <c r="X26" i="1"/>
  <c r="AO26" i="1" s="1"/>
  <c r="Y17" i="1"/>
  <c r="Y16" i="1" s="1"/>
  <c r="Y15" i="1" s="1"/>
  <c r="AA17" i="1"/>
  <c r="AA16" i="1" s="1"/>
  <c r="AB16" i="1"/>
  <c r="AB15" i="1" s="1"/>
  <c r="Z16" i="1"/>
  <c r="Z15" i="1" s="1"/>
  <c r="X19" i="1"/>
  <c r="AO19" i="1" s="1"/>
  <c r="X22" i="1"/>
  <c r="AO22" i="1" s="1"/>
  <c r="X20" i="1"/>
  <c r="AO20" i="1" s="1"/>
  <c r="O19" i="1"/>
  <c r="AM18" i="1"/>
  <c r="AM22" i="1"/>
  <c r="AM20" i="1"/>
  <c r="AM23" i="1"/>
  <c r="AM25" i="1"/>
  <c r="AM24" i="1"/>
  <c r="AD18" i="1"/>
  <c r="X18" i="1" s="1"/>
  <c r="AO18" i="1" s="1"/>
  <c r="O26" i="1"/>
  <c r="AM26" i="1"/>
  <c r="AN25" i="1"/>
  <c r="AN22" i="1"/>
  <c r="H22" i="1"/>
  <c r="AN20" i="1"/>
  <c r="AN19" i="1"/>
  <c r="AN18" i="1"/>
  <c r="AN23" i="1"/>
  <c r="AN26" i="1"/>
  <c r="H26" i="1"/>
  <c r="X25" i="1"/>
  <c r="AO25" i="1" s="1"/>
  <c r="W24" i="1"/>
  <c r="AD23" i="1"/>
  <c r="X23" i="1" s="1"/>
  <c r="AO23" i="1" s="1"/>
  <c r="AD21" i="1"/>
  <c r="X21" i="1" s="1"/>
  <c r="AO21" i="1" s="1"/>
  <c r="V21" i="1"/>
  <c r="W21" i="1"/>
  <c r="AC24" i="1"/>
  <c r="X24" i="1" s="1"/>
  <c r="AO24" i="1" s="1"/>
  <c r="O22" i="1" l="1"/>
  <c r="O24" i="1"/>
  <c r="V17" i="1"/>
  <c r="AM17" i="1" s="1"/>
  <c r="AC17" i="1"/>
  <c r="X17" i="1" s="1"/>
  <c r="AO17" i="1" s="1"/>
  <c r="H19" i="1"/>
  <c r="O25" i="1"/>
  <c r="H20" i="1"/>
  <c r="O20" i="1"/>
  <c r="W17" i="1"/>
  <c r="AN17" i="1" s="1"/>
  <c r="AA15" i="1"/>
  <c r="AC15" i="1" s="1"/>
  <c r="AJ15" i="1" s="1"/>
  <c r="H18" i="1"/>
  <c r="AM21" i="1"/>
  <c r="O21" i="1"/>
  <c r="O23" i="1"/>
  <c r="O18" i="1"/>
  <c r="H23" i="1"/>
  <c r="AN24" i="1"/>
  <c r="H24" i="1"/>
  <c r="H25" i="1"/>
  <c r="AN21" i="1"/>
  <c r="H21" i="1"/>
  <c r="AD16" i="1"/>
  <c r="V16" i="1"/>
  <c r="AG15" i="1"/>
  <c r="AG16" i="1" s="1"/>
  <c r="AG18" i="1" s="1"/>
  <c r="W16" i="1"/>
  <c r="AC16" i="1"/>
  <c r="O17" i="1" l="1"/>
  <c r="H17" i="1"/>
  <c r="AH15" i="1"/>
  <c r="AH16" i="1" s="1"/>
  <c r="AH24" i="1" s="1"/>
  <c r="Q24" i="1" s="1"/>
  <c r="W15" i="1"/>
  <c r="AF15" i="1"/>
  <c r="AF16" i="1" s="1"/>
  <c r="AF24" i="1" s="1"/>
  <c r="AM16" i="1"/>
  <c r="X16" i="1"/>
  <c r="AO16" i="1" s="1"/>
  <c r="AN16" i="1"/>
  <c r="AN15" i="1"/>
  <c r="AD15" i="1"/>
  <c r="AK15" i="1" s="1"/>
  <c r="AK16" i="1" s="1"/>
  <c r="AK26" i="1" s="1"/>
  <c r="V15" i="1"/>
  <c r="AG20" i="1"/>
  <c r="AG19" i="1"/>
  <c r="AG22" i="1"/>
  <c r="AG24" i="1"/>
  <c r="AG26" i="1"/>
  <c r="AG23" i="1"/>
  <c r="AG21" i="1"/>
  <c r="AG25" i="1"/>
  <c r="AG17" i="1"/>
  <c r="AJ16" i="1"/>
  <c r="AJ22" i="1" s="1"/>
  <c r="P26" i="1"/>
  <c r="AF17" i="1" l="1"/>
  <c r="AF18" i="1"/>
  <c r="P18" i="1" s="1"/>
  <c r="AF20" i="1"/>
  <c r="AF19" i="1"/>
  <c r="AF22" i="1"/>
  <c r="P24" i="1"/>
  <c r="AF21" i="1"/>
  <c r="P21" i="1" s="1"/>
  <c r="AF26" i="1"/>
  <c r="AF25" i="1"/>
  <c r="AF23" i="1"/>
  <c r="P23" i="1" s="1"/>
  <c r="H16" i="1"/>
  <c r="AN13" i="1"/>
  <c r="J8" i="1" s="1"/>
  <c r="AM15" i="1"/>
  <c r="AM13" i="1" s="1"/>
  <c r="I8" i="1" s="1"/>
  <c r="O16" i="1"/>
  <c r="AK17" i="1"/>
  <c r="X15" i="1"/>
  <c r="AO15" i="1" s="1"/>
  <c r="AO13" i="1" s="1"/>
  <c r="K8" i="1" s="1"/>
  <c r="AI15" i="1"/>
  <c r="AI16" i="1" s="1"/>
  <c r="AK24" i="1"/>
  <c r="AK19" i="1"/>
  <c r="AK21" i="1"/>
  <c r="AK20" i="1"/>
  <c r="AK22" i="1"/>
  <c r="AK23" i="1"/>
  <c r="AK18" i="1"/>
  <c r="AK25" i="1"/>
  <c r="AJ19" i="1"/>
  <c r="AJ20" i="1"/>
  <c r="AJ18" i="1"/>
  <c r="AJ26" i="1"/>
  <c r="R26" i="1" s="1"/>
  <c r="AJ21" i="1"/>
  <c r="AJ23" i="1"/>
  <c r="AH18" i="1"/>
  <c r="AH17" i="1"/>
  <c r="AH19" i="1"/>
  <c r="AH26" i="1"/>
  <c r="AJ24" i="1"/>
  <c r="AJ17" i="1"/>
  <c r="AH20" i="1"/>
  <c r="AH21" i="1"/>
  <c r="AH25" i="1"/>
  <c r="AJ25" i="1"/>
  <c r="R25" i="1" s="1"/>
  <c r="AH22" i="1"/>
  <c r="AH23" i="1"/>
  <c r="R23" i="1" l="1"/>
  <c r="AI19" i="1"/>
  <c r="Q19" i="1" s="1"/>
  <c r="AI21" i="1"/>
  <c r="M8" i="1"/>
  <c r="I10" i="1" s="1"/>
  <c r="AI24" i="1"/>
  <c r="AI22" i="1"/>
  <c r="Q22" i="1" s="1"/>
  <c r="AI23" i="1"/>
  <c r="H15" i="1"/>
  <c r="O15" i="1"/>
  <c r="AI18" i="1"/>
  <c r="Q18" i="1" s="1"/>
  <c r="AI26" i="1"/>
  <c r="AI25" i="1"/>
  <c r="Q25" i="1" s="1"/>
  <c r="AI17" i="1"/>
  <c r="I7" i="1"/>
  <c r="I6" i="1" s="1"/>
  <c r="AI20" i="1"/>
  <c r="R20" i="1"/>
  <c r="K7" i="1" s="1"/>
  <c r="K6" i="1" s="1"/>
  <c r="J7" i="1" l="1"/>
  <c r="J6" i="1" s="1"/>
  <c r="M6" i="1" s="1"/>
  <c r="M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NRM</author>
  </authors>
  <commentList>
    <comment ref="G14" authorId="0" shapeId="0" xr:uid="{F44096F2-642A-994B-97B8-22268B892C8F}">
      <text>
        <r>
          <rPr>
            <b/>
            <sz val="10"/>
            <color rgb="FF000000"/>
            <rFont val="Tahoma"/>
            <family val="2"/>
          </rPr>
          <t>Factor de simultaneidad: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Afecta a las intensidades de su tramo y a las caídas de tensión, pero no a las potencias ni a las intensidades nominales
</t>
        </r>
      </text>
    </comment>
    <comment ref="S14" authorId="0" shapeId="0" xr:uid="{C6521A91-FEC8-B540-994C-D93C3BE234EA}">
      <text>
        <r>
          <rPr>
            <b/>
            <sz val="10"/>
            <color rgb="FF000000"/>
            <rFont val="Tahoma"/>
            <family val="2"/>
          </rPr>
          <t>Ángulo fi: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Que forma la intensidad por la primera fase del tramo respecto del origen de fases (Vr)</t>
        </r>
      </text>
    </comment>
  </commentList>
</comments>
</file>

<file path=xl/sharedStrings.xml><?xml version="1.0" encoding="utf-8"?>
<sst xmlns="http://schemas.openxmlformats.org/spreadsheetml/2006/main" count="146" uniqueCount="100">
  <si>
    <t>INI</t>
  </si>
  <si>
    <t>FIN</t>
  </si>
  <si>
    <t>FASE</t>
  </si>
  <si>
    <t>LONG</t>
  </si>
  <si>
    <t>COS_FI</t>
  </si>
  <si>
    <t>P_NOM</t>
  </si>
  <si>
    <t>SECC</t>
  </si>
  <si>
    <t>mm2</t>
  </si>
  <si>
    <t>L/KS</t>
  </si>
  <si>
    <t>Vn (V) =</t>
  </si>
  <si>
    <t>Resist.</t>
  </si>
  <si>
    <t>tramo</t>
  </si>
  <si>
    <t>K</t>
  </si>
  <si>
    <t>Nº recep.</t>
  </si>
  <si>
    <t>e% max</t>
  </si>
  <si>
    <t>TABLAS AUXILIARES</t>
  </si>
  <si>
    <t>R-S</t>
  </si>
  <si>
    <t>S-T</t>
  </si>
  <si>
    <t>Re</t>
  </si>
  <si>
    <t>Im</t>
  </si>
  <si>
    <t>IR</t>
  </si>
  <si>
    <t>IS</t>
  </si>
  <si>
    <t>IT</t>
  </si>
  <si>
    <t>TRIFÁSICA SIN NEUTRO</t>
  </si>
  <si>
    <t>eRS_Re</t>
  </si>
  <si>
    <t>eRS_Im</t>
  </si>
  <si>
    <t>eST_Re</t>
  </si>
  <si>
    <t>eST_Im</t>
  </si>
  <si>
    <t>Caídas tensión</t>
  </si>
  <si>
    <t>eR-S</t>
  </si>
  <si>
    <t>eS-T</t>
  </si>
  <si>
    <t>Valores eficaces (%Un)</t>
  </si>
  <si>
    <t>FASES</t>
  </si>
  <si>
    <t>RED RAMIFICADA</t>
  </si>
  <si>
    <t>m</t>
  </si>
  <si>
    <t>CT</t>
  </si>
  <si>
    <t>CFUS</t>
  </si>
  <si>
    <t>CGBT</t>
  </si>
  <si>
    <t>Cinta</t>
  </si>
  <si>
    <t>Cortadora</t>
  </si>
  <si>
    <t>L_ext</t>
  </si>
  <si>
    <t>L_dwn</t>
  </si>
  <si>
    <t>Horno 2</t>
  </si>
  <si>
    <t>Horno 3</t>
  </si>
  <si>
    <t>Horno 1</t>
  </si>
  <si>
    <t>T-R</t>
  </si>
  <si>
    <t>eT-R</t>
  </si>
  <si>
    <t>eTR_Re</t>
  </si>
  <si>
    <t>eTR_Im</t>
  </si>
  <si>
    <t>L_int1</t>
  </si>
  <si>
    <t>L_int2</t>
  </si>
  <si>
    <t>L_int3</t>
  </si>
  <si>
    <t>(A)</t>
  </si>
  <si>
    <t>PpR</t>
  </si>
  <si>
    <t>PpS</t>
  </si>
  <si>
    <t>PpT</t>
  </si>
  <si>
    <t>Pérdidas potencia por tramo (W)</t>
  </si>
  <si>
    <t>TOTAL</t>
  </si>
  <si>
    <t>Rend. energ.</t>
  </si>
  <si>
    <t>RST</t>
  </si>
  <si>
    <t>fi (rad)</t>
  </si>
  <si>
    <t>FS</t>
  </si>
  <si>
    <t>Máx</t>
  </si>
  <si>
    <t>Total</t>
  </si>
  <si>
    <t>Intensidades en cada tramo (A)</t>
  </si>
  <si>
    <t>I min (A)</t>
  </si>
  <si>
    <t>Config.</t>
  </si>
  <si>
    <t>K (Cu/Al)</t>
  </si>
  <si>
    <t>Ø tubo</t>
  </si>
  <si>
    <t>Intensidades nominales</t>
  </si>
  <si>
    <t>Descrp.</t>
  </si>
  <si>
    <t>I RBT</t>
  </si>
  <si>
    <t>%seg</t>
  </si>
  <si>
    <t>Caídas de tensión acumuladas hasta cada nudo FIN (V)</t>
  </si>
  <si>
    <t>Pperd (W)</t>
  </si>
  <si>
    <t>Pnom (kW)</t>
  </si>
  <si>
    <t>e (V)</t>
  </si>
  <si>
    <t>e (%)</t>
  </si>
  <si>
    <t>Ø TUBOS ITC.BT-20 tabla 5</t>
  </si>
  <si>
    <t>-</t>
  </si>
  <si>
    <t>S mm2</t>
  </si>
  <si>
    <t>Protecciones</t>
  </si>
  <si>
    <t>- -</t>
  </si>
  <si>
    <t>Tabla de Imax extraída del RBT para distintas configuraciones:</t>
  </si>
  <si>
    <t>Puede coincidir con la tabla 1 ITC-BT-19, o pueden rellenarse cualesquiera otros valores</t>
  </si>
  <si>
    <t>S(mm2)</t>
  </si>
  <si>
    <t>Un (V) =</t>
  </si>
  <si>
    <t>#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</si>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</sst>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"/>
    <numFmt numFmtId="167" formatCode="0.0%"/>
  </numFmts>
  <fonts count="8" x14ac:knownFonts="1">
    <font>
      <sz val="10"/>
      <name val="Arial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10"/>
      <name val="Arial Narrow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8"/>
        <bgColor indexed="64"/>
      </patternFill>
    </fill>
    <fill>
      <patternFill patternType="solid">
        <fgColor rgb="FFFFFFB8"/>
        <bgColor indexed="26"/>
      </patternFill>
    </fill>
    <fill>
      <patternFill patternType="solid">
        <fgColor rgb="FFE8FFEC"/>
        <bgColor indexed="64"/>
      </patternFill>
    </fill>
    <fill>
      <patternFill patternType="solid">
        <fgColor rgb="FFFFEECA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2" fontId="2" fillId="0" borderId="0" xfId="0" applyNumberFormat="1" applyFont="1"/>
    <xf numFmtId="164" fontId="4" fillId="0" borderId="0" xfId="0" applyNumberFormat="1" applyFont="1"/>
    <xf numFmtId="166" fontId="2" fillId="0" borderId="7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167" fontId="2" fillId="0" borderId="0" xfId="1" applyNumberFormat="1" applyFont="1" applyFill="1" applyBorder="1"/>
    <xf numFmtId="164" fontId="2" fillId="0" borderId="0" xfId="0" applyNumberFormat="1" applyFont="1" applyAlignment="1">
      <alignment horizontal="center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166" fontId="2" fillId="0" borderId="5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2" fontId="2" fillId="0" borderId="5" xfId="0" applyNumberFormat="1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0" borderId="0" xfId="0" applyFont="1" applyAlignment="1">
      <alignment horizontal="right"/>
    </xf>
    <xf numFmtId="165" fontId="2" fillId="0" borderId="0" xfId="0" applyNumberFormat="1" applyFont="1"/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6" fontId="2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2" fontId="2" fillId="4" borderId="5" xfId="0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2" fontId="2" fillId="4" borderId="14" xfId="0" applyNumberFormat="1" applyFont="1" applyFill="1" applyBorder="1" applyAlignment="1">
      <alignment horizontal="center"/>
    </xf>
    <xf numFmtId="164" fontId="2" fillId="4" borderId="14" xfId="0" applyNumberFormat="1" applyFon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2" fontId="2" fillId="5" borderId="5" xfId="0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2" fontId="2" fillId="6" borderId="9" xfId="0" applyNumberFormat="1" applyFont="1" applyFill="1" applyBorder="1" applyAlignment="1">
      <alignment horizontal="center"/>
    </xf>
    <xf numFmtId="2" fontId="2" fillId="6" borderId="0" xfId="0" applyNumberFormat="1" applyFont="1" applyFill="1" applyAlignment="1">
      <alignment horizontal="center"/>
    </xf>
    <xf numFmtId="2" fontId="2" fillId="6" borderId="8" xfId="0" applyNumberFormat="1" applyFont="1" applyFill="1" applyBorder="1" applyAlignment="1">
      <alignment horizontal="center"/>
    </xf>
    <xf numFmtId="2" fontId="2" fillId="6" borderId="5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  <xf numFmtId="1" fontId="2" fillId="7" borderId="5" xfId="0" applyNumberFormat="1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right"/>
    </xf>
    <xf numFmtId="0" fontId="2" fillId="7" borderId="8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right"/>
    </xf>
    <xf numFmtId="0" fontId="2" fillId="7" borderId="5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2" fontId="2" fillId="7" borderId="9" xfId="0" applyNumberFormat="1" applyFont="1" applyFill="1" applyBorder="1" applyAlignment="1">
      <alignment horizontal="center"/>
    </xf>
    <xf numFmtId="2" fontId="2" fillId="7" borderId="0" xfId="0" applyNumberFormat="1" applyFont="1" applyFill="1" applyAlignment="1">
      <alignment horizontal="center"/>
    </xf>
    <xf numFmtId="2" fontId="2" fillId="7" borderId="8" xfId="0" applyNumberFormat="1" applyFont="1" applyFill="1" applyBorder="1" applyAlignment="1">
      <alignment horizontal="center"/>
    </xf>
    <xf numFmtId="0" fontId="2" fillId="7" borderId="13" xfId="0" applyFont="1" applyFill="1" applyBorder="1"/>
    <xf numFmtId="0" fontId="2" fillId="7" borderId="11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2" xfId="0" applyFont="1" applyFill="1" applyBorder="1"/>
    <xf numFmtId="0" fontId="2" fillId="7" borderId="7" xfId="0" applyFont="1" applyFill="1" applyBorder="1"/>
    <xf numFmtId="166" fontId="2" fillId="7" borderId="9" xfId="0" applyNumberFormat="1" applyFont="1" applyFill="1" applyBorder="1" applyAlignment="1">
      <alignment horizontal="center"/>
    </xf>
    <xf numFmtId="166" fontId="2" fillId="7" borderId="0" xfId="0" applyNumberFormat="1" applyFont="1" applyFill="1" applyAlignment="1">
      <alignment horizontal="center"/>
    </xf>
    <xf numFmtId="166" fontId="2" fillId="7" borderId="14" xfId="0" applyNumberFormat="1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1" fontId="2" fillId="2" borderId="6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7" fillId="0" borderId="15" xfId="0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166" fontId="7" fillId="0" borderId="9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7" fillId="0" borderId="9" xfId="0" applyFont="1" applyBorder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0" fontId="7" fillId="0" borderId="4" xfId="0" applyFont="1" applyBorder="1" applyAlignment="1" applyProtection="1">
      <alignment horizontal="center"/>
      <protection hidden="1"/>
    </xf>
    <xf numFmtId="0" fontId="7" fillId="0" borderId="5" xfId="0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0" fontId="2" fillId="0" borderId="13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2" fillId="0" borderId="3" xfId="0" applyFont="1" applyBorder="1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7" fillId="0" borderId="9" xfId="0" applyFont="1" applyBorder="1" applyAlignment="1">
      <alignment horizontal="center"/>
    </xf>
    <xf numFmtId="2" fontId="7" fillId="0" borderId="14" xfId="0" quotePrefix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2" fontId="7" fillId="0" borderId="0" xfId="0" applyNumberFormat="1" applyFont="1"/>
    <xf numFmtId="2" fontId="7" fillId="0" borderId="13" xfId="0" applyNumberFormat="1" applyFont="1" applyBorder="1" applyAlignment="1">
      <alignment horizontal="center"/>
    </xf>
    <xf numFmtId="1" fontId="7" fillId="0" borderId="15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6" fontId="7" fillId="0" borderId="7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/>
      <protection hidden="1"/>
    </xf>
    <xf numFmtId="0" fontId="7" fillId="0" borderId="11" xfId="0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9" fontId="2" fillId="4" borderId="0" xfId="1" applyFont="1" applyFill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7" borderId="0" xfId="0" applyFont="1" applyFill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7" borderId="3" xfId="0" applyFont="1" applyFill="1" applyBorder="1" applyAlignment="1">
      <alignment horizontal="center"/>
    </xf>
    <xf numFmtId="10" fontId="2" fillId="2" borderId="13" xfId="1" applyNumberFormat="1" applyFont="1" applyFill="1" applyBorder="1"/>
  </cellXfs>
  <cellStyles count="2">
    <cellStyle name="Normal" xfId="0" builtinId="0"/>
    <cellStyle name="Porcentaje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ECA"/>
      <color rgb="FFFFFFB8"/>
      <color rgb="FFE8FFEC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s-ES_tradnl"/>
              <a:t>Potencias nominales (kW)</a:t>
            </a:r>
          </a:p>
        </c:rich>
      </c:tx>
      <c:layout>
        <c:manualLayout>
          <c:xMode val="edge"/>
          <c:yMode val="edge"/>
          <c:x val="0.33477531903339669"/>
          <c:y val="3.4189519413521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589591606822636E-2"/>
          <c:y val="0.23540131590300084"/>
          <c:w val="0.87127441964519026"/>
          <c:h val="0.638694570305838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EE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'Electricidad USAL'!$I$3:$L$3</c:f>
              <c:strCache>
                <c:ptCount val="4"/>
                <c:pt idx="0">
                  <c:v>R-S</c:v>
                </c:pt>
                <c:pt idx="1">
                  <c:v>S-T</c:v>
                </c:pt>
                <c:pt idx="2">
                  <c:v>T-R</c:v>
                </c:pt>
                <c:pt idx="3">
                  <c:v>RST</c:v>
                </c:pt>
              </c:strCache>
            </c:strRef>
          </c:cat>
          <c:val>
            <c:numRef>
              <c:f>'Electricidad USAL'!$I$5:$L$5</c:f>
              <c:numCache>
                <c:formatCode>0.00</c:formatCode>
                <c:ptCount val="4"/>
                <c:pt idx="0">
                  <c:v>5</c:v>
                </c:pt>
                <c:pt idx="1">
                  <c:v>8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1-A645-97E9-A7D403A5C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048448"/>
        <c:axId val="1"/>
      </c:barChart>
      <c:catAx>
        <c:axId val="6640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ES"/>
          </a:p>
        </c:txPr>
        <c:crossAx val="664048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s-ES_tradnl"/>
              <a:t>Intensidades en el origen (A)</a:t>
            </a:r>
          </a:p>
        </c:rich>
      </c:tx>
      <c:layout>
        <c:manualLayout>
          <c:xMode val="edge"/>
          <c:yMode val="edge"/>
          <c:x val="0.26705529706513959"/>
          <c:y val="3.389948739629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7634681258062"/>
          <c:y val="0.25293399466350663"/>
          <c:w val="0.84093949333266516"/>
          <c:h val="0.618667668095228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B8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'Electricidad USAL'!$U$4:$U$6</c:f>
              <c:numCache>
                <c:formatCode>General</c:formatCode>
                <c:ptCount val="3"/>
              </c:numCache>
            </c:numRef>
          </c:cat>
          <c:val>
            <c:numRef>
              <c:f>'Electricidad USAL'!$V$15:$X$15</c:f>
              <c:numCache>
                <c:formatCode>0.00</c:formatCode>
                <c:ptCount val="3"/>
                <c:pt idx="0">
                  <c:v>55.509327542624803</c:v>
                </c:pt>
                <c:pt idx="1">
                  <c:v>64.926889230730779</c:v>
                </c:pt>
                <c:pt idx="2">
                  <c:v>68.331450632616139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8-C347-A4C2-60C5CCCAF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924736"/>
        <c:axId val="1"/>
      </c:barChart>
      <c:catAx>
        <c:axId val="6449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449247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es-ES_tradnl"/>
              <a:t>Caídas de tensión F-F (%)</a:t>
            </a:r>
          </a:p>
        </c:rich>
      </c:tx>
      <c:layout>
        <c:manualLayout>
          <c:xMode val="edge"/>
          <c:yMode val="edge"/>
          <c:x val="0.30159742000335066"/>
          <c:y val="3.4189519413521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82371122218022"/>
          <c:y val="0.19658832407295582"/>
          <c:w val="0.84129850421633279"/>
          <c:h val="0.61540692753273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E8FFE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6EF-944A-A20F-C43C64D80439}"/>
              </c:ext>
            </c:extLst>
          </c:dPt>
          <c:dPt>
            <c:idx val="1"/>
            <c:invertIfNegative val="0"/>
            <c:bubble3D val="0"/>
            <c:spPr>
              <a:solidFill>
                <a:srgbClr val="E8FFE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EF-944A-A20F-C43C64D80439}"/>
              </c:ext>
            </c:extLst>
          </c:dPt>
          <c:dPt>
            <c:idx val="2"/>
            <c:invertIfNegative val="0"/>
            <c:bubble3D val="0"/>
            <c:spPr>
              <a:solidFill>
                <a:srgbClr val="E8FFE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6EF-944A-A20F-C43C64D80439}"/>
              </c:ext>
            </c:extLst>
          </c:dPt>
          <c:dLbls>
            <c:numFmt formatCode="0.00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'Electricidad USAL'!$I$3:$K$3</c:f>
              <c:strCache>
                <c:ptCount val="3"/>
                <c:pt idx="0">
                  <c:v>R-S</c:v>
                </c:pt>
                <c:pt idx="1">
                  <c:v>S-T</c:v>
                </c:pt>
                <c:pt idx="2">
                  <c:v>T-R</c:v>
                </c:pt>
              </c:strCache>
            </c:strRef>
          </c:cat>
          <c:val>
            <c:numRef>
              <c:f>'Electricidad USAL'!$I$7:$K$7</c:f>
              <c:numCache>
                <c:formatCode>0.00</c:formatCode>
                <c:ptCount val="3"/>
                <c:pt idx="0">
                  <c:v>3.765445433488285</c:v>
                </c:pt>
                <c:pt idx="1">
                  <c:v>3.9163774172772943</c:v>
                </c:pt>
                <c:pt idx="2">
                  <c:v>3.7554519197781637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0-DC40-AE58-A084B5094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933248"/>
        <c:axId val="1"/>
      </c:barChart>
      <c:catAx>
        <c:axId val="64493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44933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116045</xdr:colOff>
      <xdr:row>0</xdr:row>
      <xdr:rowOff>152400</xdr:rowOff>
    </xdr:from>
    <xdr:to>
      <xdr:col>20</xdr:col>
      <xdr:colOff>27392</xdr:colOff>
      <xdr:row>9</xdr:row>
      <xdr:rowOff>174812</xdr:rowOff>
    </xdr:to>
    <xdr:graphicFrame macro="">
      <xdr:nvGraphicFramePr>
        <xdr:cNvPr id="1752" name="Gráfico 2">
          <a:extLst>
            <a:ext uri="{FF2B5EF4-FFF2-40B4-BE49-F238E27FC236}">
              <a16:creationId xmlns:a16="http://schemas.microsoft.com/office/drawing/2014/main" id="{4786F314-D0DC-C799-3B73-6C06D532A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431799</xdr:colOff>
      <xdr:row>0</xdr:row>
      <xdr:rowOff>176804</xdr:rowOff>
    </xdr:from>
    <xdr:to>
      <xdr:col>25</xdr:col>
      <xdr:colOff>173565</xdr:colOff>
      <xdr:row>10</xdr:row>
      <xdr:rowOff>4233</xdr:rowOff>
    </xdr:to>
    <xdr:graphicFrame macro="">
      <xdr:nvGraphicFramePr>
        <xdr:cNvPr id="1753" name="Gráfico 3">
          <a:extLst>
            <a:ext uri="{FF2B5EF4-FFF2-40B4-BE49-F238E27FC236}">
              <a16:creationId xmlns:a16="http://schemas.microsoft.com/office/drawing/2014/main" id="{43C6BF7E-0B56-0B15-FCA9-77FF0061A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503766</xdr:colOff>
      <xdr:row>1</xdr:row>
      <xdr:rowOff>0</xdr:rowOff>
    </xdr:from>
    <xdr:to>
      <xdr:col>29</xdr:col>
      <xdr:colOff>414867</xdr:colOff>
      <xdr:row>10</xdr:row>
      <xdr:rowOff>12700</xdr:rowOff>
    </xdr:to>
    <xdr:graphicFrame macro="">
      <xdr:nvGraphicFramePr>
        <xdr:cNvPr id="1754" name="Gráfico 22">
          <a:extLst>
            <a:ext uri="{FF2B5EF4-FFF2-40B4-BE49-F238E27FC236}">
              <a16:creationId xmlns:a16="http://schemas.microsoft.com/office/drawing/2014/main" id="{0E1C5DDA-E46B-698F-483F-8F70D5259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00C7-B995-264C-8D83-1447B1EF9C21}">
  <sheetPr codeName="Hoja1"/>
  <dimension ref="A1:AO60"/>
  <sheetViews>
    <sheetView tabSelected="1" zoomScale="170" zoomScaleNormal="170" zoomScaleSheetLayoutView="150" workbookViewId="0">
      <pane ySplit="14" topLeftCell="A15" activePane="bottomLeft" state="frozen"/>
      <selection activeCell="B1" sqref="B1"/>
      <selection pane="bottomLeft" activeCell="B12" sqref="B12"/>
    </sheetView>
  </sheetViews>
  <sheetFormatPr baseColWidth="10" defaultColWidth="11.5" defaultRowHeight="14" x14ac:dyDescent="0.15"/>
  <cols>
    <col min="1" max="1" width="3.5" style="2" customWidth="1"/>
    <col min="2" max="4" width="8.1640625" style="1" customWidth="1"/>
    <col min="5" max="41" width="7.83203125" style="2" customWidth="1"/>
    <col min="42" max="46" width="10.5" style="2" customWidth="1"/>
    <col min="47" max="50" width="10.83203125" style="2" customWidth="1"/>
    <col min="51" max="16384" width="11.5" style="2"/>
  </cols>
  <sheetData>
    <row r="1" spans="1:41" x14ac:dyDescent="0.15">
      <c r="J1" s="3"/>
      <c r="K1" s="3"/>
      <c r="L1" s="3"/>
      <c r="M1" s="3"/>
      <c r="N1" s="3"/>
      <c r="O1" s="3"/>
      <c r="P1" s="3"/>
      <c r="Q1" s="3"/>
      <c r="R1" s="3"/>
      <c r="S1" s="3"/>
    </row>
    <row r="2" spans="1:41" x14ac:dyDescent="0.15">
      <c r="B2" s="4" t="s">
        <v>33</v>
      </c>
      <c r="C2" s="5"/>
      <c r="D2" s="5"/>
      <c r="I2" s="58" t="s">
        <v>32</v>
      </c>
      <c r="J2" s="71" t="s">
        <v>32</v>
      </c>
      <c r="K2" s="71" t="s">
        <v>32</v>
      </c>
      <c r="L2" s="71" t="s">
        <v>32</v>
      </c>
      <c r="M2" s="59" t="s">
        <v>57</v>
      </c>
    </row>
    <row r="3" spans="1:41" x14ac:dyDescent="0.15">
      <c r="B3" s="4" t="s">
        <v>23</v>
      </c>
      <c r="I3" s="72" t="s">
        <v>16</v>
      </c>
      <c r="J3" s="65" t="s">
        <v>17</v>
      </c>
      <c r="K3" s="65" t="s">
        <v>45</v>
      </c>
      <c r="L3" s="65" t="s">
        <v>59</v>
      </c>
      <c r="M3" s="60"/>
      <c r="T3" s="1"/>
      <c r="U3" s="1"/>
      <c r="V3" s="1"/>
      <c r="Y3" s="6"/>
      <c r="Z3" s="6"/>
    </row>
    <row r="4" spans="1:41" x14ac:dyDescent="0.15">
      <c r="H4" s="67" t="s">
        <v>13</v>
      </c>
      <c r="I4" s="58">
        <f>DCOUNT(FASES,,I2:I3)</f>
        <v>2</v>
      </c>
      <c r="J4" s="71">
        <f>DCOUNT(FASES,,J2:J3)</f>
        <v>4</v>
      </c>
      <c r="K4" s="71">
        <f>DCOUNT(FASES,,K2:K3)</f>
        <v>3</v>
      </c>
      <c r="L4" s="71">
        <f>DCOUNT(FASES,,L2:L3)</f>
        <v>1</v>
      </c>
      <c r="M4" s="59">
        <f>SUM(I4:L4)</f>
        <v>10</v>
      </c>
      <c r="V4" s="7"/>
      <c r="Y4" s="6"/>
      <c r="Z4" s="8"/>
    </row>
    <row r="5" spans="1:41" x14ac:dyDescent="0.15">
      <c r="B5" s="2"/>
      <c r="C5" s="62" t="s">
        <v>86</v>
      </c>
      <c r="D5" s="40">
        <v>230</v>
      </c>
      <c r="E5" s="69" t="s">
        <v>67</v>
      </c>
      <c r="F5" s="9">
        <v>56</v>
      </c>
      <c r="H5" s="68" t="s">
        <v>75</v>
      </c>
      <c r="I5" s="73">
        <f>SUMIF(FASES,I3,P_NOM)</f>
        <v>5</v>
      </c>
      <c r="J5" s="74">
        <f>SUMIF(FASES,J3,P_NOM)</f>
        <v>8</v>
      </c>
      <c r="K5" s="74">
        <f>SUMIF(FASES,K3,P_NOM)</f>
        <v>5</v>
      </c>
      <c r="L5" s="74">
        <f>SUMIF(FASES,L3,P_NOM)</f>
        <v>6</v>
      </c>
      <c r="M5" s="75">
        <f>SUM(I5:L5)</f>
        <v>24</v>
      </c>
      <c r="V5" s="7"/>
      <c r="Y5" s="6"/>
      <c r="Z5" s="8"/>
    </row>
    <row r="6" spans="1:41" x14ac:dyDescent="0.15">
      <c r="B6" s="2"/>
      <c r="C6" s="63" t="s">
        <v>9</v>
      </c>
      <c r="D6" s="64">
        <f>D5/SQRT(3)</f>
        <v>132.79056191361394</v>
      </c>
      <c r="E6" s="70" t="s">
        <v>14</v>
      </c>
      <c r="F6" s="10">
        <v>4.5</v>
      </c>
      <c r="H6" s="68" t="s">
        <v>76</v>
      </c>
      <c r="I6" s="54">
        <f>I7*$D$5/100</f>
        <v>8.6605244970230562</v>
      </c>
      <c r="J6" s="55">
        <f>J7*$D$5/100</f>
        <v>9.0076680597377763</v>
      </c>
      <c r="K6" s="55">
        <f>K7*$D$5/100</f>
        <v>8.6375394154897762</v>
      </c>
      <c r="L6" s="37" t="s">
        <v>62</v>
      </c>
      <c r="M6" s="56">
        <f>MAX(I6:K6)</f>
        <v>9.0076680597377763</v>
      </c>
      <c r="V6" s="7"/>
      <c r="Y6" s="6"/>
      <c r="Z6" s="8"/>
      <c r="AE6" s="7"/>
      <c r="AF6" s="7"/>
      <c r="AG6" s="7"/>
      <c r="AH6" s="7"/>
      <c r="AI6" s="7"/>
      <c r="AJ6" s="7"/>
    </row>
    <row r="7" spans="1:41" x14ac:dyDescent="0.15">
      <c r="B7" s="2"/>
      <c r="H7" s="68" t="s">
        <v>77</v>
      </c>
      <c r="I7" s="54">
        <f>MAX(eR_S)</f>
        <v>3.765445433488285</v>
      </c>
      <c r="J7" s="55">
        <f>MAX(eS_T)</f>
        <v>3.9163774172772943</v>
      </c>
      <c r="K7" s="55">
        <f>MAX(eR_T)</f>
        <v>3.7554519197781637</v>
      </c>
      <c r="L7" s="37" t="s">
        <v>62</v>
      </c>
      <c r="M7" s="56">
        <f>MAX(I7:K7)</f>
        <v>3.9163774172772943</v>
      </c>
      <c r="AA7" s="146"/>
      <c r="AB7" s="146"/>
      <c r="AE7" s="7"/>
      <c r="AF7" s="7"/>
      <c r="AG7" s="7"/>
      <c r="AH7" s="7"/>
      <c r="AI7" s="7"/>
      <c r="AJ7" s="7"/>
    </row>
    <row r="8" spans="1:41" x14ac:dyDescent="0.15">
      <c r="B8" s="58"/>
      <c r="C8" s="61" t="s">
        <v>6</v>
      </c>
      <c r="D8" s="61" t="s">
        <v>6</v>
      </c>
      <c r="E8" s="61" t="s">
        <v>6</v>
      </c>
      <c r="F8" s="61" t="s">
        <v>6</v>
      </c>
      <c r="H8" s="95" t="s">
        <v>74</v>
      </c>
      <c r="I8" s="91">
        <f>AM13</f>
        <v>274.62048146290653</v>
      </c>
      <c r="J8" s="92">
        <f>AN13</f>
        <v>341.03220683358404</v>
      </c>
      <c r="K8" s="92">
        <f>AO13</f>
        <v>360.16485989480856</v>
      </c>
      <c r="L8" s="93" t="s">
        <v>63</v>
      </c>
      <c r="M8" s="94">
        <f>SUM(I8:K8)</f>
        <v>975.81754819129924</v>
      </c>
      <c r="AA8" s="27"/>
      <c r="AB8" s="14"/>
    </row>
    <row r="9" spans="1:41" x14ac:dyDescent="0.15">
      <c r="B9" s="59" t="s">
        <v>7</v>
      </c>
      <c r="C9" s="38">
        <v>4</v>
      </c>
      <c r="D9" s="38">
        <v>6</v>
      </c>
      <c r="E9" s="38">
        <v>10</v>
      </c>
      <c r="F9" s="39">
        <v>35</v>
      </c>
      <c r="AA9" s="27"/>
      <c r="AB9" s="14"/>
    </row>
    <row r="10" spans="1:41" x14ac:dyDescent="0.15">
      <c r="B10" s="60" t="s">
        <v>34</v>
      </c>
      <c r="C10" s="65">
        <f>SUMIF(SECC,C9,LONG)</f>
        <v>185</v>
      </c>
      <c r="D10" s="65">
        <f>SUMIF(SECC,D9,LONG)</f>
        <v>70</v>
      </c>
      <c r="E10" s="65">
        <f>SUMIF(SECC,E9,LONG)</f>
        <v>85</v>
      </c>
      <c r="F10" s="66">
        <f>SUMIF(SECC,F9,LONG)</f>
        <v>110</v>
      </c>
      <c r="H10" s="76" t="s">
        <v>58</v>
      </c>
      <c r="I10" s="148">
        <f>1-(M8/1000/M5)</f>
        <v>0.95934093549202915</v>
      </c>
      <c r="J10" s="11"/>
      <c r="K10" s="11"/>
      <c r="AA10" s="27"/>
      <c r="AB10" s="14"/>
    </row>
    <row r="11" spans="1:41" x14ac:dyDescent="0.15">
      <c r="J11" s="1"/>
      <c r="K11" s="1"/>
      <c r="L11" s="1"/>
      <c r="M11" s="1"/>
      <c r="N11" s="1"/>
    </row>
    <row r="12" spans="1:41" x14ac:dyDescent="0.15">
      <c r="E12" s="1"/>
      <c r="P12" s="142" t="s">
        <v>28</v>
      </c>
      <c r="Q12" s="143"/>
      <c r="R12" s="144"/>
      <c r="S12" s="142" t="s">
        <v>69</v>
      </c>
      <c r="T12" s="143"/>
      <c r="U12" s="144"/>
      <c r="V12" s="142" t="s">
        <v>64</v>
      </c>
      <c r="W12" s="143"/>
      <c r="X12" s="143"/>
      <c r="Y12" s="143"/>
      <c r="Z12" s="143"/>
      <c r="AA12" s="143"/>
      <c r="AB12" s="143"/>
      <c r="AC12" s="143"/>
      <c r="AD12" s="144"/>
      <c r="AE12" s="59" t="s">
        <v>10</v>
      </c>
      <c r="AF12" s="147" t="s">
        <v>73</v>
      </c>
      <c r="AG12" s="147"/>
      <c r="AH12" s="147"/>
      <c r="AI12" s="147"/>
      <c r="AJ12" s="147"/>
      <c r="AK12" s="147"/>
      <c r="AM12" s="80" t="s">
        <v>56</v>
      </c>
      <c r="AN12" s="81"/>
      <c r="AO12" s="82"/>
    </row>
    <row r="13" spans="1:41" x14ac:dyDescent="0.15">
      <c r="E13" s="1"/>
      <c r="I13" s="12"/>
      <c r="P13" s="145" t="s">
        <v>31</v>
      </c>
      <c r="Q13" s="140"/>
      <c r="R13" s="141"/>
      <c r="S13" s="145" t="s">
        <v>52</v>
      </c>
      <c r="T13" s="140"/>
      <c r="U13" s="141"/>
      <c r="V13" s="86" t="s">
        <v>20</v>
      </c>
      <c r="W13" s="88" t="s">
        <v>21</v>
      </c>
      <c r="X13" s="88" t="s">
        <v>22</v>
      </c>
      <c r="Y13" s="145" t="s">
        <v>20</v>
      </c>
      <c r="Z13" s="141"/>
      <c r="AA13" s="145" t="s">
        <v>21</v>
      </c>
      <c r="AB13" s="141"/>
      <c r="AC13" s="140" t="s">
        <v>22</v>
      </c>
      <c r="AD13" s="141"/>
      <c r="AE13" s="87" t="s">
        <v>11</v>
      </c>
      <c r="AF13" s="145" t="s">
        <v>16</v>
      </c>
      <c r="AG13" s="141"/>
      <c r="AH13" s="145" t="s">
        <v>17</v>
      </c>
      <c r="AI13" s="141"/>
      <c r="AJ13" s="140" t="s">
        <v>45</v>
      </c>
      <c r="AK13" s="141"/>
      <c r="AM13" s="83">
        <f>SUM(AM15:AM34)</f>
        <v>274.62048146290653</v>
      </c>
      <c r="AN13" s="84">
        <f>SUM(AN15:AN34)</f>
        <v>341.03220683358404</v>
      </c>
      <c r="AO13" s="85">
        <f>SUM(AO15:AO34)</f>
        <v>360.16485989480856</v>
      </c>
    </row>
    <row r="14" spans="1:41" x14ac:dyDescent="0.15">
      <c r="A14" s="76" t="s">
        <v>87</v>
      </c>
      <c r="B14" s="77" t="s">
        <v>0</v>
      </c>
      <c r="C14" s="78" t="s">
        <v>1</v>
      </c>
      <c r="D14" s="78" t="s">
        <v>70</v>
      </c>
      <c r="E14" s="78" t="s">
        <v>5</v>
      </c>
      <c r="F14" s="78" t="s">
        <v>4</v>
      </c>
      <c r="G14" s="78" t="s">
        <v>61</v>
      </c>
      <c r="H14" s="78" t="s">
        <v>65</v>
      </c>
      <c r="I14" s="78" t="s">
        <v>3</v>
      </c>
      <c r="J14" s="78" t="s">
        <v>32</v>
      </c>
      <c r="K14" s="78" t="s">
        <v>66</v>
      </c>
      <c r="L14" s="78" t="s">
        <v>6</v>
      </c>
      <c r="M14" s="78" t="s">
        <v>68</v>
      </c>
      <c r="N14" s="78" t="s">
        <v>71</v>
      </c>
      <c r="O14" s="79" t="s">
        <v>72</v>
      </c>
      <c r="P14" s="65" t="s">
        <v>29</v>
      </c>
      <c r="Q14" s="65" t="s">
        <v>30</v>
      </c>
      <c r="R14" s="66" t="s">
        <v>46</v>
      </c>
      <c r="S14" s="72" t="s">
        <v>60</v>
      </c>
      <c r="T14" s="65" t="s">
        <v>18</v>
      </c>
      <c r="U14" s="66" t="s">
        <v>19</v>
      </c>
      <c r="V14" s="72" t="s">
        <v>52</v>
      </c>
      <c r="W14" s="65" t="s">
        <v>52</v>
      </c>
      <c r="X14" s="65" t="s">
        <v>52</v>
      </c>
      <c r="Y14" s="72" t="s">
        <v>18</v>
      </c>
      <c r="Z14" s="66" t="s">
        <v>19</v>
      </c>
      <c r="AA14" s="72" t="s">
        <v>18</v>
      </c>
      <c r="AB14" s="66" t="s">
        <v>19</v>
      </c>
      <c r="AC14" s="65" t="s">
        <v>18</v>
      </c>
      <c r="AD14" s="66" t="s">
        <v>19</v>
      </c>
      <c r="AE14" s="60" t="s">
        <v>8</v>
      </c>
      <c r="AF14" s="72" t="s">
        <v>24</v>
      </c>
      <c r="AG14" s="66" t="s">
        <v>25</v>
      </c>
      <c r="AH14" s="72" t="s">
        <v>26</v>
      </c>
      <c r="AI14" s="66" t="s">
        <v>27</v>
      </c>
      <c r="AJ14" s="65" t="s">
        <v>47</v>
      </c>
      <c r="AK14" s="66" t="s">
        <v>48</v>
      </c>
      <c r="AM14" s="72" t="s">
        <v>53</v>
      </c>
      <c r="AN14" s="65" t="s">
        <v>54</v>
      </c>
      <c r="AO14" s="66" t="s">
        <v>55</v>
      </c>
    </row>
    <row r="15" spans="1:41" x14ac:dyDescent="0.15">
      <c r="A15" s="2" t="s">
        <v>88</v>
      </c>
      <c r="B15" s="13" t="s">
        <v>35</v>
      </c>
      <c r="C15" s="14" t="s">
        <v>36</v>
      </c>
      <c r="D15" s="14"/>
      <c r="E15" s="16"/>
      <c r="F15" s="17"/>
      <c r="G15" s="17">
        <v>1</v>
      </c>
      <c r="H15" s="89">
        <f t="shared" ref="H15:H26" si="0">VLOOKUP(MAX(V15:X15),Protecciones,2)</f>
        <v>80</v>
      </c>
      <c r="I15" s="15">
        <v>10</v>
      </c>
      <c r="J15" s="14"/>
      <c r="K15" s="1">
        <v>6</v>
      </c>
      <c r="L15" s="14">
        <v>35</v>
      </c>
      <c r="M15" s="89">
        <f t="shared" ref="M15:M26" si="1">IF(I15,VLOOKUP(L15,TUBOS,IF(OR(J15="RST",J15=""),3,2)),"")</f>
        <v>50</v>
      </c>
      <c r="N15" s="89">
        <f t="shared" ref="N15:N26" si="2">IF(I15,VLOOKUP(L15,Imax_RBT,K15+1),"")</f>
        <v>110</v>
      </c>
      <c r="O15" s="136">
        <f t="shared" ref="O15:O25" si="3">IF(I15,(N15-MAX(V15:X15))/N15,"")</f>
        <v>0.3788049942489442</v>
      </c>
      <c r="P15" s="52" t="str">
        <f t="shared" ref="P15:P26" si="4">IF($J15="R-S",SQRT(AF15^2+AG15^2)*100/$D$5,"")</f>
        <v/>
      </c>
      <c r="Q15" s="52" t="str">
        <f t="shared" ref="Q15:Q26" si="5">IF($J15="S-T",SQRT(AH15^2+AI15^2)*100/$D$5,"")</f>
        <v/>
      </c>
      <c r="R15" s="52" t="str">
        <f t="shared" ref="R15:R26" si="6">IF($J15="T-R",SQRT(AJ15^2+AK15^2)*100/$D$5,"")</f>
        <v/>
      </c>
      <c r="S15" s="138">
        <f>IF(J15="R-S",PI()/6,IF(J15="S-T",-PI()/2,IF(J15="T-R",-PI()/6,0)))-IF(E15,ACOS(F15),0)</f>
        <v>0</v>
      </c>
      <c r="T15" s="41" t="str">
        <f t="shared" ref="T15:T26" si="7">IF(ISBLANK(J15),"",1000*E15/$D$5/F15*COS(S15)/IF(J15="RST",SQRT(3),1))</f>
        <v/>
      </c>
      <c r="U15" s="47" t="str">
        <f t="shared" ref="U15:U26" si="8">IF(ISBLANK(J15),"",1000*E15/$D$5/F15*SIN(S15)/IF(J15="RST",SQRT(3),1))</f>
        <v/>
      </c>
      <c r="V15" s="41">
        <f>SQRT(Y15^2+Z15^2)</f>
        <v>55.509327542624803</v>
      </c>
      <c r="W15" s="45">
        <f>SQRT(AA15^2+AB15^2)</f>
        <v>64.926889230730779</v>
      </c>
      <c r="X15" s="46">
        <f>SQRT(AC15^2+AD15^2)</f>
        <v>68.331450632616139</v>
      </c>
      <c r="Y15" s="41">
        <f t="shared" ref="Y15:Y26" si="9">G15*(IF(OR($J15="R-S",$J15="T-R",$J15="RST"),$T15,0)+SUMIF(INI,$C15,IR_Re))</f>
        <v>52.714589795574526</v>
      </c>
      <c r="Z15" s="41">
        <f t="shared" ref="Z15:Z26" si="10">G15*(IF(OR($J15="R-S",$J15="T-R",$J15="RST"),$U15,0)+SUMIF(INI,$C15,IR_Im))</f>
        <v>-17.391304347826086</v>
      </c>
      <c r="AA15" s="41">
        <f t="shared" ref="AA15:AA26" si="11">G15*(IF($J15="R-S",-$T15,IF($J15="S-T",$T15,IF($J15="RST",-$T15,0))+SUMIF(INI,$C15,IS_Re)))</f>
        <v>-41.418606267951418</v>
      </c>
      <c r="AB15" s="41">
        <f t="shared" ref="AB15:AB26" si="12">G15*(IF($J15="R-S",-$U15,IF($J15="S-T",$U15,IF($J15="RST",$U15,0))+SUMIF(INI,$C15,IS_Im)))</f>
        <v>-50</v>
      </c>
      <c r="AC15" s="41">
        <f t="shared" ref="AC15:AD17" si="13">-Y15-AA15</f>
        <v>-11.295983527623108</v>
      </c>
      <c r="AD15" s="41">
        <f t="shared" si="13"/>
        <v>67.391304347826093</v>
      </c>
      <c r="AE15" s="18">
        <f t="shared" ref="AE15:AE26" si="14">I15/$F$5/L15</f>
        <v>5.1020408163265311E-3</v>
      </c>
      <c r="AF15" s="52">
        <f>(Y15-AA15)*$AE15+SUMIF(FIN,$B15,eRS_Re)</f>
        <v>0.48027140848737732</v>
      </c>
      <c r="AG15" s="52">
        <f>(Z15-AB15)*$AE15+SUMIF(FIN,$B15,eRS_Im)</f>
        <v>0.1663708961845608</v>
      </c>
      <c r="AH15" s="52">
        <f t="shared" ref="AH15:AH26" si="15">(ABS(AA15)+ABS(AC15))*$AE15+SUMIF(FIN,$B15,eST_Re)</f>
        <v>0.2689519887529313</v>
      </c>
      <c r="AI15" s="52">
        <f t="shared" ref="AI15:AI26" si="16">(ABS(AB15)+ABS(AD15))*$AE15+SUMIF(FIN,$B15,eST_Im)</f>
        <v>0.59893522626441886</v>
      </c>
      <c r="AJ15" s="52">
        <f t="shared" ref="AJ15:AJ26" si="17">(ABS(AC15)+ABS(Y15))*$AE15+SUMIF(FIN,$B15,eRT_Re)</f>
        <v>0.32658455777141654</v>
      </c>
      <c r="AK15" s="52">
        <f t="shared" ref="AK15:AK26" si="18">(ABS(AD15)+ABS(Z15))*$AE15+SUMIF(FIN,$B15,eRT_Im)</f>
        <v>0.43256433007985812</v>
      </c>
      <c r="AM15" s="18">
        <f>V15^2*$AE15</f>
        <v>15.720844103236759</v>
      </c>
      <c r="AN15" s="18">
        <f>W15^2*$AE15</f>
        <v>21.507657883569308</v>
      </c>
      <c r="AO15" s="18">
        <f>X15^2*$AE15</f>
        <v>23.822383395702332</v>
      </c>
    </row>
    <row r="16" spans="1:41" x14ac:dyDescent="0.15">
      <c r="A16" s="2" t="s">
        <v>89</v>
      </c>
      <c r="B16" s="13" t="s">
        <v>36</v>
      </c>
      <c r="C16" s="14" t="s">
        <v>37</v>
      </c>
      <c r="D16" s="14"/>
      <c r="E16" s="16"/>
      <c r="F16" s="17"/>
      <c r="G16" s="17">
        <v>1</v>
      </c>
      <c r="H16" s="89">
        <f t="shared" si="0"/>
        <v>80</v>
      </c>
      <c r="I16" s="15">
        <v>100</v>
      </c>
      <c r="J16" s="14"/>
      <c r="K16" s="1">
        <v>6</v>
      </c>
      <c r="L16" s="14">
        <v>35</v>
      </c>
      <c r="M16" s="89">
        <f t="shared" si="1"/>
        <v>50</v>
      </c>
      <c r="N16" s="89">
        <f t="shared" si="2"/>
        <v>110</v>
      </c>
      <c r="O16" s="136">
        <f t="shared" si="3"/>
        <v>0.3788049942489442</v>
      </c>
      <c r="P16" s="52" t="str">
        <f t="shared" si="4"/>
        <v/>
      </c>
      <c r="Q16" s="52" t="str">
        <f t="shared" si="5"/>
        <v/>
      </c>
      <c r="R16" s="52" t="str">
        <f t="shared" si="6"/>
        <v/>
      </c>
      <c r="S16" s="138">
        <f t="shared" ref="S16:S26" si="19">IF(J16="R-S",PI()/6,IF(J16="S-T",-PI()/2,IF(J16="T-R",-PI()/6,0)))-IF(E16,ACOS(F16),0)</f>
        <v>0</v>
      </c>
      <c r="T16" s="41" t="str">
        <f t="shared" si="7"/>
        <v/>
      </c>
      <c r="U16" s="47" t="str">
        <f t="shared" si="8"/>
        <v/>
      </c>
      <c r="V16" s="41">
        <f t="shared" ref="V16:V26" si="20">SQRT(Y16^2+Z16^2)</f>
        <v>55.509327542624803</v>
      </c>
      <c r="W16" s="41">
        <f t="shared" ref="W16:W26" si="21">SQRT(AA16^2+AB16^2)</f>
        <v>64.926889230730779</v>
      </c>
      <c r="X16" s="47">
        <f t="shared" ref="X16:X26" si="22">SQRT(AC16^2+AD16^2)</f>
        <v>68.331450632616139</v>
      </c>
      <c r="Y16" s="41">
        <f t="shared" si="9"/>
        <v>52.714589795574526</v>
      </c>
      <c r="Z16" s="41">
        <f t="shared" si="10"/>
        <v>-17.391304347826086</v>
      </c>
      <c r="AA16" s="41">
        <f t="shared" si="11"/>
        <v>-41.418606267951418</v>
      </c>
      <c r="AB16" s="41">
        <f t="shared" si="12"/>
        <v>-50</v>
      </c>
      <c r="AC16" s="41">
        <f t="shared" si="13"/>
        <v>-11.295983527623108</v>
      </c>
      <c r="AD16" s="41">
        <f t="shared" si="13"/>
        <v>67.391304347826093</v>
      </c>
      <c r="AE16" s="18">
        <f t="shared" si="14"/>
        <v>5.1020408163265307E-2</v>
      </c>
      <c r="AF16" s="52">
        <f>(Y16-AA16)*$AE16+SUMIF(FIN,$B16,eRS_Re)</f>
        <v>5.2829854933611502</v>
      </c>
      <c r="AG16" s="52">
        <f>(Z16-AB16)*$AE16+SUMIF(FIN,$B16,eRS_Im)</f>
        <v>1.8300798580301687</v>
      </c>
      <c r="AH16" s="52">
        <f t="shared" si="15"/>
        <v>2.958471876282244</v>
      </c>
      <c r="AI16" s="52">
        <f t="shared" si="16"/>
        <v>6.5882874889086072</v>
      </c>
      <c r="AJ16" s="52">
        <f t="shared" si="17"/>
        <v>3.5924301354855817</v>
      </c>
      <c r="AK16" s="52">
        <f t="shared" si="18"/>
        <v>4.7582076308784389</v>
      </c>
      <c r="AM16" s="18">
        <f t="shared" ref="AM16:AM26" si="23">V16^2*$AE16</f>
        <v>157.20844103236757</v>
      </c>
      <c r="AN16" s="18">
        <f t="shared" ref="AN16:AN26" si="24">W16^2*$AE16</f>
        <v>215.07657883569306</v>
      </c>
      <c r="AO16" s="18">
        <f t="shared" ref="AO16:AO26" si="25">X16^2*$AE16</f>
        <v>238.22383395702329</v>
      </c>
    </row>
    <row r="17" spans="1:41" x14ac:dyDescent="0.15">
      <c r="A17" s="2" t="s">
        <v>90</v>
      </c>
      <c r="B17" s="13" t="str">
        <f>C$16</f>
        <v>CGBT</v>
      </c>
      <c r="C17" s="14" t="s">
        <v>38</v>
      </c>
      <c r="D17" s="14"/>
      <c r="E17" s="16">
        <v>6</v>
      </c>
      <c r="F17" s="36">
        <f>SQRT(3)/2</f>
        <v>0.8660254037844386</v>
      </c>
      <c r="G17" s="17">
        <v>1</v>
      </c>
      <c r="H17" s="89">
        <f t="shared" si="0"/>
        <v>20</v>
      </c>
      <c r="I17" s="15">
        <v>30</v>
      </c>
      <c r="J17" s="14" t="s">
        <v>59</v>
      </c>
      <c r="K17" s="1">
        <v>6</v>
      </c>
      <c r="L17" s="14">
        <v>4</v>
      </c>
      <c r="M17" s="89">
        <f t="shared" si="1"/>
        <v>25</v>
      </c>
      <c r="N17" s="89">
        <f t="shared" si="2"/>
        <v>30</v>
      </c>
      <c r="O17" s="136">
        <f t="shared" si="3"/>
        <v>0.4202898550724638</v>
      </c>
      <c r="P17" s="52" t="str">
        <f t="shared" si="4"/>
        <v/>
      </c>
      <c r="Q17" s="52" t="str">
        <f t="shared" si="5"/>
        <v/>
      </c>
      <c r="R17" s="52" t="str">
        <f t="shared" si="6"/>
        <v/>
      </c>
      <c r="S17" s="138">
        <f t="shared" si="19"/>
        <v>-0.52359877559829893</v>
      </c>
      <c r="T17" s="41">
        <f t="shared" si="7"/>
        <v>15.06131137016415</v>
      </c>
      <c r="U17" s="47">
        <f t="shared" si="8"/>
        <v>-8.695652173913043</v>
      </c>
      <c r="V17" s="41">
        <f>SQRT(Y17^2+Z17^2)</f>
        <v>17.391304347826086</v>
      </c>
      <c r="W17" s="41">
        <f t="shared" si="21"/>
        <v>17.391304347826086</v>
      </c>
      <c r="X17" s="47">
        <f t="shared" si="22"/>
        <v>17.391304347826086</v>
      </c>
      <c r="Y17" s="41">
        <f t="shared" si="9"/>
        <v>15.06131137016415</v>
      </c>
      <c r="Z17" s="41">
        <f t="shared" si="10"/>
        <v>-8.695652173913043</v>
      </c>
      <c r="AA17" s="41">
        <f t="shared" si="11"/>
        <v>-15.06131137016415</v>
      </c>
      <c r="AB17" s="41">
        <f t="shared" si="12"/>
        <v>-8.695652173913043</v>
      </c>
      <c r="AC17" s="41">
        <f t="shared" si="13"/>
        <v>0</v>
      </c>
      <c r="AD17" s="41">
        <f t="shared" si="13"/>
        <v>17.391304347826086</v>
      </c>
      <c r="AE17" s="18">
        <f t="shared" si="14"/>
        <v>0.13392857142857142</v>
      </c>
      <c r="AF17" s="52">
        <f>(Y17-AA17)*$AE17+SUMIF(FIN,$B17,eRS_Re)</f>
        <v>9.3172653246551178</v>
      </c>
      <c r="AG17" s="52">
        <f>(Z17-AB17)*$AE17+SUMIF(FIN,$B17,eRS_Im)</f>
        <v>1.8300798580301687</v>
      </c>
      <c r="AH17" s="52">
        <f t="shared" si="15"/>
        <v>4.9756117919292286</v>
      </c>
      <c r="AI17" s="52">
        <f t="shared" si="16"/>
        <v>10.082076308784384</v>
      </c>
      <c r="AJ17" s="52">
        <f t="shared" si="17"/>
        <v>5.6095700511325663</v>
      </c>
      <c r="AK17" s="52">
        <f t="shared" si="18"/>
        <v>8.2519964507542145</v>
      </c>
      <c r="AM17" s="18">
        <f t="shared" si="23"/>
        <v>40.507696462327843</v>
      </c>
      <c r="AN17" s="18">
        <f t="shared" si="24"/>
        <v>40.507696462327843</v>
      </c>
      <c r="AO17" s="18">
        <f t="shared" si="25"/>
        <v>40.507696462327843</v>
      </c>
    </row>
    <row r="18" spans="1:41" x14ac:dyDescent="0.15">
      <c r="A18" s="2" t="s">
        <v>91</v>
      </c>
      <c r="B18" s="13" t="str">
        <f t="shared" ref="B18:B26" si="26">C$16</f>
        <v>CGBT</v>
      </c>
      <c r="C18" s="14" t="s">
        <v>39</v>
      </c>
      <c r="D18" s="14"/>
      <c r="E18" s="16">
        <v>3</v>
      </c>
      <c r="F18" s="17">
        <v>1</v>
      </c>
      <c r="G18" s="17">
        <v>1</v>
      </c>
      <c r="H18" s="89">
        <f t="shared" si="0"/>
        <v>16</v>
      </c>
      <c r="I18" s="15">
        <v>40</v>
      </c>
      <c r="J18" s="14" t="s">
        <v>17</v>
      </c>
      <c r="K18" s="1">
        <v>6</v>
      </c>
      <c r="L18" s="14">
        <v>10</v>
      </c>
      <c r="M18" s="89">
        <f t="shared" si="1"/>
        <v>25</v>
      </c>
      <c r="N18" s="89">
        <f t="shared" si="2"/>
        <v>52</v>
      </c>
      <c r="O18" s="136">
        <f t="shared" si="3"/>
        <v>0.74916387959866226</v>
      </c>
      <c r="P18" s="52" t="str">
        <f t="shared" si="4"/>
        <v/>
      </c>
      <c r="Q18" s="52">
        <f t="shared" si="5"/>
        <v>3.8932543166176621</v>
      </c>
      <c r="R18" s="52" t="str">
        <f t="shared" si="6"/>
        <v/>
      </c>
      <c r="S18" s="138">
        <f t="shared" si="19"/>
        <v>-1.5707963267948966</v>
      </c>
      <c r="T18" s="41">
        <f t="shared" si="7"/>
        <v>7.9868269509609992E-16</v>
      </c>
      <c r="U18" s="47">
        <f t="shared" si="8"/>
        <v>-13.043478260869565</v>
      </c>
      <c r="V18" s="41">
        <f t="shared" si="20"/>
        <v>0</v>
      </c>
      <c r="W18" s="41">
        <f t="shared" si="21"/>
        <v>13.043478260869565</v>
      </c>
      <c r="X18" s="47">
        <f t="shared" si="22"/>
        <v>13.043478260869565</v>
      </c>
      <c r="Y18" s="41">
        <f t="shared" si="9"/>
        <v>0</v>
      </c>
      <c r="Z18" s="41">
        <f t="shared" si="10"/>
        <v>0</v>
      </c>
      <c r="AA18" s="41">
        <f t="shared" si="11"/>
        <v>7.9868269509609992E-16</v>
      </c>
      <c r="AB18" s="41">
        <f t="shared" si="12"/>
        <v>-13.043478260869565</v>
      </c>
      <c r="AC18" s="41">
        <f t="shared" ref="AC18:AC26" si="27">-Y18-AA18</f>
        <v>-7.9868269509609992E-16</v>
      </c>
      <c r="AD18" s="41">
        <f t="shared" ref="AD18:AD26" si="28">-Z18-AB18</f>
        <v>13.043478260869565</v>
      </c>
      <c r="AE18" s="18">
        <f t="shared" si="14"/>
        <v>7.1428571428571425E-2</v>
      </c>
      <c r="AF18" s="52">
        <f>(Y18-AA18)*$AE18+SUMIF(FIN,$B18,eRS_Re)</f>
        <v>5.2829854933611502</v>
      </c>
      <c r="AG18" s="52">
        <f>(Z18-AB18)*$AE18+SUMIF(FIN,$B18,eRS_Im)</f>
        <v>2.7617568766637088</v>
      </c>
      <c r="AH18" s="52">
        <f t="shared" si="15"/>
        <v>2.958471876282244</v>
      </c>
      <c r="AI18" s="52">
        <f t="shared" si="16"/>
        <v>8.4516415261756883</v>
      </c>
      <c r="AJ18" s="52">
        <f t="shared" si="17"/>
        <v>3.5924301354855817</v>
      </c>
      <c r="AK18" s="52">
        <f t="shared" si="18"/>
        <v>5.6898846495119795</v>
      </c>
      <c r="AM18" s="18">
        <f t="shared" si="23"/>
        <v>0</v>
      </c>
      <c r="AN18" s="18">
        <f t="shared" si="24"/>
        <v>12.152308938698351</v>
      </c>
      <c r="AO18" s="18">
        <f t="shared" si="25"/>
        <v>12.152308938698351</v>
      </c>
    </row>
    <row r="19" spans="1:41" x14ac:dyDescent="0.15">
      <c r="A19" s="2" t="s">
        <v>92</v>
      </c>
      <c r="B19" s="13" t="str">
        <f t="shared" si="26"/>
        <v>CGBT</v>
      </c>
      <c r="C19" s="14" t="s">
        <v>40</v>
      </c>
      <c r="D19" s="14"/>
      <c r="E19" s="16">
        <v>1</v>
      </c>
      <c r="F19" s="17">
        <v>1</v>
      </c>
      <c r="G19" s="17">
        <v>1</v>
      </c>
      <c r="H19" s="89">
        <f t="shared" si="0"/>
        <v>10</v>
      </c>
      <c r="I19" s="15">
        <v>35</v>
      </c>
      <c r="J19" s="14" t="s">
        <v>17</v>
      </c>
      <c r="K19" s="1">
        <v>6</v>
      </c>
      <c r="L19" s="14">
        <v>4</v>
      </c>
      <c r="M19" s="89">
        <f t="shared" si="1"/>
        <v>20</v>
      </c>
      <c r="N19" s="89">
        <f t="shared" si="2"/>
        <v>30</v>
      </c>
      <c r="O19" s="136">
        <f t="shared" si="3"/>
        <v>0.85507246376811585</v>
      </c>
      <c r="P19" s="52" t="str">
        <f t="shared" si="4"/>
        <v/>
      </c>
      <c r="Q19" s="52">
        <f t="shared" si="5"/>
        <v>3.6868718429417258</v>
      </c>
      <c r="R19" s="52" t="str">
        <f t="shared" si="6"/>
        <v/>
      </c>
      <c r="S19" s="138">
        <f t="shared" si="19"/>
        <v>-1.5707963267948966</v>
      </c>
      <c r="T19" s="41">
        <f t="shared" si="7"/>
        <v>2.6622756503203331E-16</v>
      </c>
      <c r="U19" s="47">
        <f t="shared" si="8"/>
        <v>-4.3478260869565215</v>
      </c>
      <c r="V19" s="41">
        <f t="shared" si="20"/>
        <v>0</v>
      </c>
      <c r="W19" s="41">
        <f t="shared" si="21"/>
        <v>4.3478260869565215</v>
      </c>
      <c r="X19" s="47">
        <f t="shared" si="22"/>
        <v>4.3478260869565215</v>
      </c>
      <c r="Y19" s="41">
        <f t="shared" si="9"/>
        <v>0</v>
      </c>
      <c r="Z19" s="41">
        <f t="shared" si="10"/>
        <v>0</v>
      </c>
      <c r="AA19" s="41">
        <f t="shared" si="11"/>
        <v>2.6622756503203331E-16</v>
      </c>
      <c r="AB19" s="41">
        <f t="shared" si="12"/>
        <v>-4.3478260869565215</v>
      </c>
      <c r="AC19" s="41">
        <f t="shared" si="27"/>
        <v>-2.6622756503203331E-16</v>
      </c>
      <c r="AD19" s="41">
        <f t="shared" si="28"/>
        <v>4.3478260869565215</v>
      </c>
      <c r="AE19" s="18">
        <f t="shared" si="14"/>
        <v>0.15625</v>
      </c>
      <c r="AF19" s="52">
        <f t="shared" ref="AF19:AF26" si="29">(ABS(Y19)+ABS(AA19))*$AE19+SUMIF(FIN,$B19,eRS_Re)</f>
        <v>5.2829854933611502</v>
      </c>
      <c r="AG19" s="52">
        <f t="shared" ref="AG19:AG26" si="30">(ABS(Z19)+ABS(AB19))*$AE19+SUMIF(FIN,$B19,eRS_Im)</f>
        <v>2.5094276841171252</v>
      </c>
      <c r="AH19" s="52">
        <f t="shared" si="15"/>
        <v>2.958471876282244</v>
      </c>
      <c r="AI19" s="52">
        <f t="shared" si="16"/>
        <v>7.9469831410825202</v>
      </c>
      <c r="AJ19" s="52">
        <f t="shared" si="17"/>
        <v>3.5924301354855817</v>
      </c>
      <c r="AK19" s="52">
        <f t="shared" si="18"/>
        <v>5.437555456965395</v>
      </c>
      <c r="AM19" s="18">
        <f t="shared" si="23"/>
        <v>0</v>
      </c>
      <c r="AN19" s="18">
        <f t="shared" si="24"/>
        <v>2.9536862003780717</v>
      </c>
      <c r="AO19" s="18">
        <f t="shared" si="25"/>
        <v>2.9536862003780717</v>
      </c>
    </row>
    <row r="20" spans="1:41" x14ac:dyDescent="0.15">
      <c r="A20" s="2" t="s">
        <v>93</v>
      </c>
      <c r="B20" s="13" t="str">
        <f t="shared" si="26"/>
        <v>CGBT</v>
      </c>
      <c r="C20" s="14" t="s">
        <v>49</v>
      </c>
      <c r="D20" s="14"/>
      <c r="E20" s="16">
        <v>2</v>
      </c>
      <c r="F20" s="17">
        <v>1</v>
      </c>
      <c r="G20" s="17">
        <v>1</v>
      </c>
      <c r="H20" s="89">
        <f t="shared" si="0"/>
        <v>10</v>
      </c>
      <c r="I20" s="15">
        <v>35</v>
      </c>
      <c r="J20" s="14" t="s">
        <v>45</v>
      </c>
      <c r="K20" s="1">
        <v>6</v>
      </c>
      <c r="L20" s="14">
        <v>4</v>
      </c>
      <c r="M20" s="89">
        <f t="shared" si="1"/>
        <v>20</v>
      </c>
      <c r="N20" s="89">
        <f t="shared" si="2"/>
        <v>30</v>
      </c>
      <c r="O20" s="136">
        <f t="shared" si="3"/>
        <v>0.71014492753623193</v>
      </c>
      <c r="P20" s="52" t="str">
        <f t="shared" si="4"/>
        <v/>
      </c>
      <c r="Q20" s="52" t="str">
        <f t="shared" si="5"/>
        <v/>
      </c>
      <c r="R20" s="52">
        <f t="shared" si="6"/>
        <v>3.7088910747401664</v>
      </c>
      <c r="S20" s="138">
        <f t="shared" si="19"/>
        <v>-0.52359877559829882</v>
      </c>
      <c r="T20" s="41">
        <f t="shared" si="7"/>
        <v>7.5306556850820749</v>
      </c>
      <c r="U20" s="47">
        <f t="shared" si="8"/>
        <v>-4.3478260869565206</v>
      </c>
      <c r="V20" s="41">
        <f t="shared" si="20"/>
        <v>8.695652173913043</v>
      </c>
      <c r="W20" s="41">
        <f t="shared" si="21"/>
        <v>0</v>
      </c>
      <c r="X20" s="47">
        <f t="shared" si="22"/>
        <v>8.695652173913043</v>
      </c>
      <c r="Y20" s="41">
        <f t="shared" si="9"/>
        <v>7.5306556850820749</v>
      </c>
      <c r="Z20" s="41">
        <f t="shared" si="10"/>
        <v>-4.3478260869565206</v>
      </c>
      <c r="AA20" s="41">
        <f t="shared" si="11"/>
        <v>0</v>
      </c>
      <c r="AB20" s="41">
        <f t="shared" si="12"/>
        <v>0</v>
      </c>
      <c r="AC20" s="41">
        <f t="shared" si="27"/>
        <v>-7.5306556850820749</v>
      </c>
      <c r="AD20" s="41">
        <f t="shared" si="28"/>
        <v>4.3478260869565206</v>
      </c>
      <c r="AE20" s="18">
        <f t="shared" si="14"/>
        <v>0.15625</v>
      </c>
      <c r="AF20" s="52">
        <f t="shared" si="29"/>
        <v>6.4596504441552245</v>
      </c>
      <c r="AG20" s="52">
        <f t="shared" si="30"/>
        <v>2.5094276841171252</v>
      </c>
      <c r="AH20" s="52">
        <f t="shared" si="15"/>
        <v>4.1351368270763178</v>
      </c>
      <c r="AI20" s="52">
        <f t="shared" si="16"/>
        <v>7.2676353149955633</v>
      </c>
      <c r="AJ20" s="52">
        <f t="shared" si="17"/>
        <v>5.9457600370737307</v>
      </c>
      <c r="AK20" s="52">
        <f t="shared" si="18"/>
        <v>6.116903283052352</v>
      </c>
      <c r="AM20" s="18">
        <f t="shared" si="23"/>
        <v>11.814744801512287</v>
      </c>
      <c r="AN20" s="18">
        <f t="shared" si="24"/>
        <v>0</v>
      </c>
      <c r="AO20" s="18">
        <f t="shared" si="25"/>
        <v>11.814744801512287</v>
      </c>
    </row>
    <row r="21" spans="1:41" x14ac:dyDescent="0.15">
      <c r="A21" s="2" t="s">
        <v>94</v>
      </c>
      <c r="B21" s="13" t="str">
        <f t="shared" si="26"/>
        <v>CGBT</v>
      </c>
      <c r="C21" s="14" t="s">
        <v>50</v>
      </c>
      <c r="D21" s="14"/>
      <c r="E21" s="16">
        <v>3</v>
      </c>
      <c r="F21" s="17">
        <v>1</v>
      </c>
      <c r="G21" s="17">
        <v>1</v>
      </c>
      <c r="H21" s="89">
        <f t="shared" si="0"/>
        <v>16</v>
      </c>
      <c r="I21" s="15">
        <v>40</v>
      </c>
      <c r="J21" s="14" t="s">
        <v>16</v>
      </c>
      <c r="K21" s="1">
        <v>6</v>
      </c>
      <c r="L21" s="14">
        <v>6</v>
      </c>
      <c r="M21" s="89">
        <f t="shared" si="1"/>
        <v>25</v>
      </c>
      <c r="N21" s="89">
        <f t="shared" si="2"/>
        <v>37</v>
      </c>
      <c r="O21" s="136">
        <f t="shared" si="3"/>
        <v>0.64747356051703886</v>
      </c>
      <c r="P21" s="52">
        <f t="shared" si="4"/>
        <v>3.765445433488285</v>
      </c>
      <c r="Q21" s="52" t="str">
        <f t="shared" si="5"/>
        <v/>
      </c>
      <c r="R21" s="52" t="str">
        <f t="shared" si="6"/>
        <v/>
      </c>
      <c r="S21" s="138">
        <f t="shared" si="19"/>
        <v>0.52359877559829882</v>
      </c>
      <c r="T21" s="41">
        <f t="shared" si="7"/>
        <v>11.295983527623113</v>
      </c>
      <c r="U21" s="47">
        <f t="shared" si="8"/>
        <v>6.5217391304347814</v>
      </c>
      <c r="V21" s="41">
        <f t="shared" si="20"/>
        <v>13.043478260869565</v>
      </c>
      <c r="W21" s="41">
        <f t="shared" si="21"/>
        <v>13.043478260869565</v>
      </c>
      <c r="X21" s="47">
        <f t="shared" si="22"/>
        <v>0</v>
      </c>
      <c r="Y21" s="41">
        <f t="shared" si="9"/>
        <v>11.295983527623113</v>
      </c>
      <c r="Z21" s="41">
        <f t="shared" si="10"/>
        <v>6.5217391304347814</v>
      </c>
      <c r="AA21" s="41">
        <f t="shared" si="11"/>
        <v>-11.295983527623113</v>
      </c>
      <c r="AB21" s="41">
        <f t="shared" si="12"/>
        <v>-6.5217391304347814</v>
      </c>
      <c r="AC21" s="41">
        <f t="shared" si="27"/>
        <v>0</v>
      </c>
      <c r="AD21" s="41">
        <f t="shared" si="28"/>
        <v>0</v>
      </c>
      <c r="AE21" s="18">
        <f t="shared" si="14"/>
        <v>0.11904761904761905</v>
      </c>
      <c r="AF21" s="52">
        <f t="shared" si="29"/>
        <v>7.9725053808904631</v>
      </c>
      <c r="AG21" s="52">
        <f t="shared" si="30"/>
        <v>3.3828748890860689</v>
      </c>
      <c r="AH21" s="52">
        <f t="shared" si="15"/>
        <v>4.3032318200469</v>
      </c>
      <c r="AI21" s="52">
        <f>(ABS(AB21)+ABS(AD21))*$AE21+SUMIF(FIN,$B21,eST_Im)</f>
        <v>7.3646850044365575</v>
      </c>
      <c r="AJ21" s="52">
        <f t="shared" si="17"/>
        <v>4.9371900792502377</v>
      </c>
      <c r="AK21" s="52">
        <f t="shared" si="18"/>
        <v>5.5346051464063892</v>
      </c>
      <c r="AM21" s="18">
        <f t="shared" si="23"/>
        <v>20.253848231163921</v>
      </c>
      <c r="AN21" s="18">
        <f t="shared" si="24"/>
        <v>20.253848231163921</v>
      </c>
      <c r="AO21" s="18">
        <f t="shared" si="25"/>
        <v>0</v>
      </c>
    </row>
    <row r="22" spans="1:41" x14ac:dyDescent="0.15">
      <c r="A22" s="2" t="s">
        <v>95</v>
      </c>
      <c r="B22" s="13" t="str">
        <f t="shared" si="26"/>
        <v>CGBT</v>
      </c>
      <c r="C22" s="14" t="s">
        <v>51</v>
      </c>
      <c r="D22" s="14"/>
      <c r="E22" s="16">
        <v>2</v>
      </c>
      <c r="F22" s="17">
        <v>1</v>
      </c>
      <c r="G22" s="17">
        <v>1</v>
      </c>
      <c r="H22" s="89">
        <f t="shared" si="0"/>
        <v>10</v>
      </c>
      <c r="I22" s="15">
        <v>45</v>
      </c>
      <c r="J22" s="14" t="s">
        <v>17</v>
      </c>
      <c r="K22" s="1">
        <v>6</v>
      </c>
      <c r="L22" s="14">
        <v>10</v>
      </c>
      <c r="M22" s="89">
        <f t="shared" si="1"/>
        <v>25</v>
      </c>
      <c r="N22" s="89">
        <f t="shared" si="2"/>
        <v>52</v>
      </c>
      <c r="O22" s="136">
        <f t="shared" si="3"/>
        <v>0.83277591973244136</v>
      </c>
      <c r="P22" s="52" t="str">
        <f t="shared" si="4"/>
        <v/>
      </c>
      <c r="Q22" s="52">
        <f t="shared" si="5"/>
        <v>3.7026942029363692</v>
      </c>
      <c r="R22" s="52" t="str">
        <f t="shared" si="6"/>
        <v/>
      </c>
      <c r="S22" s="138">
        <f t="shared" si="19"/>
        <v>-1.5707963267948966</v>
      </c>
      <c r="T22" s="41">
        <f t="shared" si="7"/>
        <v>5.3245513006406662E-16</v>
      </c>
      <c r="U22" s="47">
        <f t="shared" si="8"/>
        <v>-8.695652173913043</v>
      </c>
      <c r="V22" s="41">
        <f t="shared" si="20"/>
        <v>0</v>
      </c>
      <c r="W22" s="41">
        <f t="shared" si="21"/>
        <v>8.695652173913043</v>
      </c>
      <c r="X22" s="47">
        <f t="shared" si="22"/>
        <v>8.695652173913043</v>
      </c>
      <c r="Y22" s="41">
        <f t="shared" si="9"/>
        <v>0</v>
      </c>
      <c r="Z22" s="41">
        <f t="shared" si="10"/>
        <v>0</v>
      </c>
      <c r="AA22" s="41">
        <f t="shared" si="11"/>
        <v>5.3245513006406662E-16</v>
      </c>
      <c r="AB22" s="41">
        <f t="shared" si="12"/>
        <v>-8.695652173913043</v>
      </c>
      <c r="AC22" s="41">
        <f t="shared" si="27"/>
        <v>-5.3245513006406662E-16</v>
      </c>
      <c r="AD22" s="41">
        <f t="shared" si="28"/>
        <v>8.695652173913043</v>
      </c>
      <c r="AE22" s="18">
        <f t="shared" si="14"/>
        <v>8.0357142857142863E-2</v>
      </c>
      <c r="AF22" s="52">
        <f t="shared" si="29"/>
        <v>5.2829854933611502</v>
      </c>
      <c r="AG22" s="52">
        <f t="shared" si="30"/>
        <v>2.5288376220053239</v>
      </c>
      <c r="AH22" s="52">
        <f t="shared" si="15"/>
        <v>2.958471876282244</v>
      </c>
      <c r="AI22" s="52">
        <f t="shared" si="16"/>
        <v>7.9858030168589176</v>
      </c>
      <c r="AJ22" s="52">
        <f t="shared" si="17"/>
        <v>3.5924301354855817</v>
      </c>
      <c r="AK22" s="52">
        <f t="shared" si="18"/>
        <v>5.4569653948535946</v>
      </c>
      <c r="AM22" s="18">
        <f t="shared" si="23"/>
        <v>0</v>
      </c>
      <c r="AN22" s="18">
        <f t="shared" si="24"/>
        <v>6.0761544693491762</v>
      </c>
      <c r="AO22" s="18">
        <f t="shared" si="25"/>
        <v>6.0761544693491762</v>
      </c>
    </row>
    <row r="23" spans="1:41" x14ac:dyDescent="0.15">
      <c r="A23" s="2" t="s">
        <v>96</v>
      </c>
      <c r="B23" s="13" t="str">
        <f t="shared" si="26"/>
        <v>CGBT</v>
      </c>
      <c r="C23" s="14" t="s">
        <v>41</v>
      </c>
      <c r="D23" s="14"/>
      <c r="E23" s="16">
        <v>1</v>
      </c>
      <c r="F23" s="17">
        <v>1</v>
      </c>
      <c r="G23" s="17">
        <v>1</v>
      </c>
      <c r="H23" s="89">
        <f t="shared" si="0"/>
        <v>10</v>
      </c>
      <c r="I23" s="15">
        <v>25</v>
      </c>
      <c r="J23" s="14" t="s">
        <v>45</v>
      </c>
      <c r="K23" s="1">
        <v>6</v>
      </c>
      <c r="L23" s="14">
        <v>4</v>
      </c>
      <c r="M23" s="89">
        <f t="shared" si="1"/>
        <v>20</v>
      </c>
      <c r="N23" s="89">
        <f t="shared" si="2"/>
        <v>30</v>
      </c>
      <c r="O23" s="136">
        <f t="shared" si="3"/>
        <v>0.85507246376811585</v>
      </c>
      <c r="P23" s="52" t="str">
        <f t="shared" si="4"/>
        <v/>
      </c>
      <c r="Q23" s="52" t="str">
        <f t="shared" si="5"/>
        <v/>
      </c>
      <c r="R23" s="52">
        <f t="shared" si="6"/>
        <v>2.9852972820588297</v>
      </c>
      <c r="S23" s="138">
        <f t="shared" si="19"/>
        <v>-0.52359877559829882</v>
      </c>
      <c r="T23" s="41">
        <f t="shared" si="7"/>
        <v>3.7653278425410375</v>
      </c>
      <c r="U23" s="47">
        <f t="shared" si="8"/>
        <v>-2.1739130434782603</v>
      </c>
      <c r="V23" s="41">
        <f t="shared" si="20"/>
        <v>4.3478260869565215</v>
      </c>
      <c r="W23" s="41">
        <f t="shared" si="21"/>
        <v>0</v>
      </c>
      <c r="X23" s="47">
        <f t="shared" si="22"/>
        <v>4.3478260869565215</v>
      </c>
      <c r="Y23" s="41">
        <f t="shared" si="9"/>
        <v>3.7653278425410375</v>
      </c>
      <c r="Z23" s="41">
        <f t="shared" si="10"/>
        <v>-2.1739130434782603</v>
      </c>
      <c r="AA23" s="41">
        <f t="shared" si="11"/>
        <v>0</v>
      </c>
      <c r="AB23" s="41">
        <f t="shared" si="12"/>
        <v>0</v>
      </c>
      <c r="AC23" s="41">
        <f t="shared" si="27"/>
        <v>-3.7653278425410375</v>
      </c>
      <c r="AD23" s="41">
        <f t="shared" si="28"/>
        <v>2.1739130434782603</v>
      </c>
      <c r="AE23" s="18">
        <f t="shared" si="14"/>
        <v>0.11160714285714286</v>
      </c>
      <c r="AF23" s="52">
        <f t="shared" si="29"/>
        <v>5.7032229757876056</v>
      </c>
      <c r="AG23" s="52">
        <f t="shared" si="30"/>
        <v>2.072704081632653</v>
      </c>
      <c r="AH23" s="52">
        <f t="shared" si="15"/>
        <v>3.3787093587086989</v>
      </c>
      <c r="AI23" s="52">
        <f t="shared" si="16"/>
        <v>6.8309117125110914</v>
      </c>
      <c r="AJ23" s="52">
        <f t="shared" si="17"/>
        <v>4.4329051003384921</v>
      </c>
      <c r="AK23" s="52">
        <f t="shared" si="18"/>
        <v>5.2434560780834074</v>
      </c>
      <c r="AM23" s="18">
        <f t="shared" si="23"/>
        <v>2.1097758574129086</v>
      </c>
      <c r="AN23" s="18">
        <f t="shared" si="24"/>
        <v>0</v>
      </c>
      <c r="AO23" s="18">
        <f t="shared" si="25"/>
        <v>2.1097758574129086</v>
      </c>
    </row>
    <row r="24" spans="1:41" x14ac:dyDescent="0.15">
      <c r="A24" s="2" t="s">
        <v>97</v>
      </c>
      <c r="B24" s="13" t="str">
        <f t="shared" si="26"/>
        <v>CGBT</v>
      </c>
      <c r="C24" s="14" t="s">
        <v>44</v>
      </c>
      <c r="D24" s="14"/>
      <c r="E24" s="16">
        <v>2</v>
      </c>
      <c r="F24" s="17">
        <f>SQRT(3)/2</f>
        <v>0.8660254037844386</v>
      </c>
      <c r="G24" s="17">
        <v>1</v>
      </c>
      <c r="H24" s="89">
        <f t="shared" si="0"/>
        <v>16</v>
      </c>
      <c r="I24" s="15">
        <v>30</v>
      </c>
      <c r="J24" s="14" t="s">
        <v>16</v>
      </c>
      <c r="K24" s="1">
        <v>6</v>
      </c>
      <c r="L24" s="14">
        <v>4</v>
      </c>
      <c r="M24" s="89">
        <f t="shared" si="1"/>
        <v>20</v>
      </c>
      <c r="N24" s="89">
        <f t="shared" si="2"/>
        <v>30</v>
      </c>
      <c r="O24" s="136">
        <f t="shared" si="3"/>
        <v>0.66530419177413003</v>
      </c>
      <c r="P24" s="52">
        <f t="shared" si="4"/>
        <v>3.5564588687728662</v>
      </c>
      <c r="Q24" s="52" t="str">
        <f t="shared" si="5"/>
        <v/>
      </c>
      <c r="R24" s="52" t="str">
        <f t="shared" si="6"/>
        <v/>
      </c>
      <c r="S24" s="138">
        <f>IF(J24="R-S",PI()/6,IF(J24="S-T",-PI()/2,IF(J24="T-R",-PI()/6,0)))-IF(E24,ACOS(F24),0)</f>
        <v>0</v>
      </c>
      <c r="T24" s="41">
        <f t="shared" si="7"/>
        <v>10.040874246776101</v>
      </c>
      <c r="U24" s="47">
        <f t="shared" si="8"/>
        <v>0</v>
      </c>
      <c r="V24" s="41">
        <f t="shared" si="20"/>
        <v>10.040874246776101</v>
      </c>
      <c r="W24" s="41">
        <f t="shared" si="21"/>
        <v>10.040874246776101</v>
      </c>
      <c r="X24" s="47">
        <f t="shared" si="22"/>
        <v>0</v>
      </c>
      <c r="Y24" s="41">
        <f t="shared" si="9"/>
        <v>10.040874246776101</v>
      </c>
      <c r="Z24" s="41">
        <f t="shared" si="10"/>
        <v>0</v>
      </c>
      <c r="AA24" s="41">
        <f t="shared" si="11"/>
        <v>-10.040874246776101</v>
      </c>
      <c r="AB24" s="41">
        <f t="shared" si="12"/>
        <v>0</v>
      </c>
      <c r="AC24" s="41">
        <f t="shared" si="27"/>
        <v>0</v>
      </c>
      <c r="AD24" s="41">
        <f t="shared" si="28"/>
        <v>0</v>
      </c>
      <c r="AE24" s="18">
        <f t="shared" si="14"/>
        <v>0.13392857142857142</v>
      </c>
      <c r="AF24" s="52">
        <f t="shared" si="29"/>
        <v>7.9725053808904622</v>
      </c>
      <c r="AG24" s="52">
        <f t="shared" si="30"/>
        <v>1.8300798580301687</v>
      </c>
      <c r="AH24" s="52">
        <f t="shared" si="15"/>
        <v>4.3032318200469</v>
      </c>
      <c r="AI24" s="52">
        <f t="shared" si="16"/>
        <v>6.5882874889086072</v>
      </c>
      <c r="AJ24" s="52">
        <f t="shared" si="17"/>
        <v>4.9371900792502377</v>
      </c>
      <c r="AK24" s="52">
        <f t="shared" si="18"/>
        <v>4.7582076308784389</v>
      </c>
      <c r="AM24" s="18">
        <f t="shared" si="23"/>
        <v>13.502565487442613</v>
      </c>
      <c r="AN24" s="18">
        <f t="shared" si="24"/>
        <v>13.502565487442613</v>
      </c>
      <c r="AO24" s="18">
        <f t="shared" si="25"/>
        <v>0</v>
      </c>
    </row>
    <row r="25" spans="1:41" x14ac:dyDescent="0.15">
      <c r="A25" s="2" t="s">
        <v>98</v>
      </c>
      <c r="B25" s="13" t="str">
        <f t="shared" si="26"/>
        <v>CGBT</v>
      </c>
      <c r="C25" s="14" t="s">
        <v>42</v>
      </c>
      <c r="D25" s="14"/>
      <c r="E25" s="16">
        <v>2</v>
      </c>
      <c r="F25" s="17">
        <f t="shared" ref="F25:F26" si="31">SQRT(3)/2</f>
        <v>0.8660254037844386</v>
      </c>
      <c r="G25" s="17">
        <v>1</v>
      </c>
      <c r="H25" s="89">
        <f t="shared" si="0"/>
        <v>16</v>
      </c>
      <c r="I25" s="15">
        <v>30</v>
      </c>
      <c r="J25" s="14" t="s">
        <v>17</v>
      </c>
      <c r="K25" s="1">
        <v>6</v>
      </c>
      <c r="L25" s="14">
        <v>6</v>
      </c>
      <c r="M25" s="89">
        <f t="shared" si="1"/>
        <v>25</v>
      </c>
      <c r="N25" s="89">
        <f t="shared" si="2"/>
        <v>37</v>
      </c>
      <c r="O25" s="136">
        <f t="shared" si="3"/>
        <v>0.72862502035740262</v>
      </c>
      <c r="P25" s="52" t="str">
        <f t="shared" si="4"/>
        <v/>
      </c>
      <c r="Q25" s="52">
        <f t="shared" si="5"/>
        <v>3.9163774172772943</v>
      </c>
      <c r="R25" s="52" t="str">
        <f t="shared" si="6"/>
        <v/>
      </c>
      <c r="S25" s="138">
        <f t="shared" si="19"/>
        <v>-2.0943951023931957</v>
      </c>
      <c r="T25" s="41">
        <f t="shared" si="7"/>
        <v>-5.0204371233880529</v>
      </c>
      <c r="U25" s="47">
        <f t="shared" si="8"/>
        <v>-8.695652173913043</v>
      </c>
      <c r="V25" s="41">
        <f t="shared" si="20"/>
        <v>0</v>
      </c>
      <c r="W25" s="41">
        <f t="shared" si="21"/>
        <v>10.040874246776102</v>
      </c>
      <c r="X25" s="47">
        <f t="shared" si="22"/>
        <v>10.040874246776102</v>
      </c>
      <c r="Y25" s="41">
        <f t="shared" si="9"/>
        <v>0</v>
      </c>
      <c r="Z25" s="41">
        <f t="shared" si="10"/>
        <v>0</v>
      </c>
      <c r="AA25" s="41">
        <f t="shared" si="11"/>
        <v>-5.0204371233880529</v>
      </c>
      <c r="AB25" s="41">
        <f t="shared" si="12"/>
        <v>-8.695652173913043</v>
      </c>
      <c r="AC25" s="41">
        <f t="shared" si="27"/>
        <v>5.0204371233880529</v>
      </c>
      <c r="AD25" s="41">
        <f t="shared" si="28"/>
        <v>8.695652173913043</v>
      </c>
      <c r="AE25" s="18">
        <f t="shared" si="14"/>
        <v>8.9285714285714288E-2</v>
      </c>
      <c r="AF25" s="52">
        <f t="shared" si="29"/>
        <v>5.731238807949369</v>
      </c>
      <c r="AG25" s="52">
        <f t="shared" si="30"/>
        <v>2.606477373558119</v>
      </c>
      <c r="AH25" s="52">
        <f t="shared" si="15"/>
        <v>3.854978505458682</v>
      </c>
      <c r="AI25" s="52">
        <f t="shared" si="16"/>
        <v>8.1410825199645078</v>
      </c>
      <c r="AJ25" s="52">
        <f t="shared" si="17"/>
        <v>4.0406834500738009</v>
      </c>
      <c r="AK25" s="52">
        <f t="shared" si="18"/>
        <v>5.5346051464063892</v>
      </c>
      <c r="AM25" s="18">
        <f t="shared" si="23"/>
        <v>0</v>
      </c>
      <c r="AN25" s="18">
        <f t="shared" si="24"/>
        <v>9.0017103249617474</v>
      </c>
      <c r="AO25" s="18">
        <f t="shared" si="25"/>
        <v>9.0017103249617474</v>
      </c>
    </row>
    <row r="26" spans="1:41" x14ac:dyDescent="0.15">
      <c r="A26" s="2" t="s">
        <v>99</v>
      </c>
      <c r="B26" s="13" t="str">
        <f t="shared" si="26"/>
        <v>CGBT</v>
      </c>
      <c r="C26" s="14" t="s">
        <v>43</v>
      </c>
      <c r="D26" s="14"/>
      <c r="E26" s="16">
        <v>2</v>
      </c>
      <c r="F26" s="17">
        <f t="shared" si="31"/>
        <v>0.8660254037844386</v>
      </c>
      <c r="G26" s="17">
        <v>1</v>
      </c>
      <c r="H26" s="89">
        <f t="shared" si="0"/>
        <v>16</v>
      </c>
      <c r="I26" s="15">
        <v>30</v>
      </c>
      <c r="J26" s="14" t="s">
        <v>45</v>
      </c>
      <c r="K26" s="1">
        <v>6</v>
      </c>
      <c r="L26" s="14">
        <v>4</v>
      </c>
      <c r="M26" s="89">
        <f t="shared" si="1"/>
        <v>20</v>
      </c>
      <c r="N26" s="89">
        <f t="shared" si="2"/>
        <v>30</v>
      </c>
      <c r="O26" s="136">
        <f>IF(I26,(N26-MAX(V26:X26))/N26,"")</f>
        <v>0.66530419177413003</v>
      </c>
      <c r="P26" s="52" t="str">
        <f t="shared" si="4"/>
        <v/>
      </c>
      <c r="Q26" s="52" t="str">
        <f t="shared" si="5"/>
        <v/>
      </c>
      <c r="R26" s="52">
        <f t="shared" si="6"/>
        <v>3.7554519197781637</v>
      </c>
      <c r="S26" s="138">
        <f t="shared" si="19"/>
        <v>-1.0471975511965979</v>
      </c>
      <c r="T26" s="41">
        <f t="shared" si="7"/>
        <v>5.0204371233880494</v>
      </c>
      <c r="U26" s="47">
        <f t="shared" si="8"/>
        <v>-8.6956521739130448</v>
      </c>
      <c r="V26" s="41">
        <f t="shared" si="20"/>
        <v>10.040874246776101</v>
      </c>
      <c r="W26" s="41">
        <f t="shared" si="21"/>
        <v>0</v>
      </c>
      <c r="X26" s="47">
        <f t="shared" si="22"/>
        <v>10.040874246776101</v>
      </c>
      <c r="Y26" s="41">
        <f t="shared" si="9"/>
        <v>5.0204371233880494</v>
      </c>
      <c r="Z26" s="41">
        <f t="shared" si="10"/>
        <v>-8.6956521739130448</v>
      </c>
      <c r="AA26" s="41">
        <f t="shared" si="11"/>
        <v>0</v>
      </c>
      <c r="AB26" s="41">
        <f t="shared" si="12"/>
        <v>0</v>
      </c>
      <c r="AC26" s="41">
        <f t="shared" si="27"/>
        <v>-5.0204371233880494</v>
      </c>
      <c r="AD26" s="41">
        <f t="shared" si="28"/>
        <v>8.6956521739130448</v>
      </c>
      <c r="AE26" s="18">
        <f t="shared" si="14"/>
        <v>0.13392857142857142</v>
      </c>
      <c r="AF26" s="52">
        <f t="shared" si="29"/>
        <v>5.955365465243478</v>
      </c>
      <c r="AG26" s="52">
        <f t="shared" si="30"/>
        <v>2.9946761313220942</v>
      </c>
      <c r="AH26" s="52">
        <f t="shared" si="15"/>
        <v>3.6308518481645722</v>
      </c>
      <c r="AI26" s="52">
        <f t="shared" si="16"/>
        <v>7.7528837622005327</v>
      </c>
      <c r="AJ26" s="52">
        <f t="shared" si="17"/>
        <v>4.9371900792502377</v>
      </c>
      <c r="AK26" s="52">
        <f t="shared" si="18"/>
        <v>7.0874001774622899</v>
      </c>
      <c r="AM26" s="18">
        <f t="shared" si="23"/>
        <v>13.502565487442613</v>
      </c>
      <c r="AN26" s="18">
        <f t="shared" si="24"/>
        <v>0</v>
      </c>
      <c r="AO26" s="18">
        <f t="shared" si="25"/>
        <v>13.502565487442613</v>
      </c>
    </row>
    <row r="27" spans="1:41" x14ac:dyDescent="0.15">
      <c r="B27" s="13"/>
      <c r="C27" s="14"/>
      <c r="D27" s="14"/>
      <c r="E27" s="16"/>
      <c r="F27" s="36"/>
      <c r="G27" s="14"/>
      <c r="H27" s="89"/>
      <c r="I27" s="15"/>
      <c r="J27" s="14"/>
      <c r="K27" s="1"/>
      <c r="L27" s="14"/>
      <c r="M27" s="89"/>
      <c r="N27" s="89"/>
      <c r="O27" s="89"/>
      <c r="P27" s="52"/>
      <c r="Q27" s="52"/>
      <c r="R27" s="52"/>
      <c r="S27" s="137"/>
      <c r="T27" s="41"/>
      <c r="U27" s="47"/>
      <c r="V27" s="41"/>
      <c r="W27" s="41"/>
      <c r="X27" s="47"/>
      <c r="Y27" s="41"/>
      <c r="Z27" s="41"/>
      <c r="AA27" s="41"/>
      <c r="AB27" s="41"/>
      <c r="AC27" s="41"/>
      <c r="AD27" s="41"/>
      <c r="AE27" s="18"/>
      <c r="AF27" s="52"/>
      <c r="AG27" s="52"/>
      <c r="AH27" s="52"/>
      <c r="AI27" s="52"/>
      <c r="AJ27" s="52"/>
      <c r="AK27" s="52"/>
      <c r="AM27" s="18"/>
      <c r="AN27" s="18"/>
      <c r="AO27" s="18"/>
    </row>
    <row r="28" spans="1:41" x14ac:dyDescent="0.15">
      <c r="B28" s="13"/>
      <c r="C28" s="14"/>
      <c r="D28" s="14"/>
      <c r="E28" s="16"/>
      <c r="F28" s="36"/>
      <c r="G28" s="14"/>
      <c r="H28" s="89"/>
      <c r="I28" s="15"/>
      <c r="J28" s="14"/>
      <c r="K28" s="1"/>
      <c r="L28" s="14"/>
      <c r="M28" s="89"/>
      <c r="N28" s="89"/>
      <c r="O28" s="89"/>
      <c r="P28" s="52"/>
      <c r="Q28" s="52"/>
      <c r="R28" s="52"/>
      <c r="S28" s="137"/>
      <c r="T28" s="41"/>
      <c r="U28" s="47"/>
      <c r="V28" s="41"/>
      <c r="W28" s="41"/>
      <c r="X28" s="47"/>
      <c r="Y28" s="41"/>
      <c r="Z28" s="41"/>
      <c r="AA28" s="41"/>
      <c r="AB28" s="41"/>
      <c r="AC28" s="41"/>
      <c r="AD28" s="41"/>
      <c r="AE28" s="18"/>
      <c r="AF28" s="52"/>
      <c r="AG28" s="52"/>
      <c r="AH28" s="52"/>
      <c r="AI28" s="52"/>
      <c r="AJ28" s="52"/>
      <c r="AK28" s="52"/>
      <c r="AM28" s="18"/>
      <c r="AN28" s="18"/>
      <c r="AO28" s="18"/>
    </row>
    <row r="29" spans="1:41" x14ac:dyDescent="0.15">
      <c r="B29" s="13"/>
      <c r="C29" s="14"/>
      <c r="D29" s="14"/>
      <c r="E29" s="16"/>
      <c r="F29" s="36"/>
      <c r="G29" s="14"/>
      <c r="H29" s="89"/>
      <c r="I29" s="15"/>
      <c r="J29" s="14"/>
      <c r="K29" s="1"/>
      <c r="L29" s="14"/>
      <c r="M29" s="89"/>
      <c r="N29" s="89"/>
      <c r="O29" s="89"/>
      <c r="P29" s="52"/>
      <c r="Q29" s="52"/>
      <c r="R29" s="52"/>
      <c r="S29" s="137"/>
      <c r="T29" s="41"/>
      <c r="U29" s="47"/>
      <c r="V29" s="41"/>
      <c r="W29" s="41"/>
      <c r="X29" s="47"/>
      <c r="Y29" s="41"/>
      <c r="Z29" s="41"/>
      <c r="AA29" s="41"/>
      <c r="AB29" s="41"/>
      <c r="AC29" s="41"/>
      <c r="AD29" s="41"/>
      <c r="AE29" s="18"/>
      <c r="AF29" s="52"/>
      <c r="AG29" s="52"/>
      <c r="AH29" s="52"/>
      <c r="AI29" s="52"/>
      <c r="AJ29" s="52"/>
      <c r="AK29" s="52"/>
      <c r="AM29" s="18"/>
      <c r="AN29" s="18"/>
      <c r="AO29" s="18"/>
    </row>
    <row r="30" spans="1:41" x14ac:dyDescent="0.15">
      <c r="B30" s="13"/>
      <c r="C30" s="14"/>
      <c r="D30" s="14"/>
      <c r="E30" s="16"/>
      <c r="F30" s="17"/>
      <c r="G30" s="14"/>
      <c r="H30" s="89"/>
      <c r="I30" s="15"/>
      <c r="J30" s="14"/>
      <c r="K30" s="1"/>
      <c r="L30" s="14"/>
      <c r="M30" s="89"/>
      <c r="N30" s="89"/>
      <c r="O30" s="89"/>
      <c r="P30" s="52"/>
      <c r="Q30" s="52"/>
      <c r="R30" s="52"/>
      <c r="S30" s="137"/>
      <c r="T30" s="41"/>
      <c r="U30" s="47"/>
      <c r="V30" s="41"/>
      <c r="W30" s="41"/>
      <c r="X30" s="47"/>
      <c r="Y30" s="41"/>
      <c r="Z30" s="41"/>
      <c r="AA30" s="41"/>
      <c r="AB30" s="41"/>
      <c r="AC30" s="41"/>
      <c r="AD30" s="41"/>
      <c r="AE30" s="18"/>
      <c r="AF30" s="52"/>
      <c r="AG30" s="52"/>
      <c r="AH30" s="52"/>
      <c r="AI30" s="52"/>
      <c r="AJ30" s="52"/>
      <c r="AK30" s="52"/>
      <c r="AM30" s="18"/>
      <c r="AN30" s="18"/>
      <c r="AO30" s="18"/>
    </row>
    <row r="31" spans="1:41" x14ac:dyDescent="0.15">
      <c r="B31" s="13"/>
      <c r="C31" s="14"/>
      <c r="D31" s="14"/>
      <c r="E31" s="16"/>
      <c r="F31" s="17"/>
      <c r="G31" s="14"/>
      <c r="H31" s="89"/>
      <c r="I31" s="15"/>
      <c r="J31" s="14"/>
      <c r="K31" s="1"/>
      <c r="L31" s="14"/>
      <c r="M31" s="89"/>
      <c r="N31" s="89"/>
      <c r="O31" s="89"/>
      <c r="P31" s="52"/>
      <c r="Q31" s="52"/>
      <c r="R31" s="52"/>
      <c r="S31" s="137"/>
      <c r="T31" s="41"/>
      <c r="U31" s="48"/>
      <c r="V31" s="42"/>
      <c r="W31" s="42"/>
      <c r="X31" s="48"/>
      <c r="Y31" s="42"/>
      <c r="Z31" s="42"/>
      <c r="AA31" s="41"/>
      <c r="AB31" s="49"/>
      <c r="AC31" s="49"/>
      <c r="AD31" s="41"/>
      <c r="AE31" s="18"/>
      <c r="AF31" s="55"/>
      <c r="AG31" s="55"/>
      <c r="AH31" s="55"/>
      <c r="AI31" s="55"/>
      <c r="AJ31" s="55"/>
      <c r="AK31" s="55"/>
      <c r="AM31" s="19"/>
      <c r="AN31" s="19"/>
      <c r="AO31" s="19"/>
    </row>
    <row r="32" spans="1:41" x14ac:dyDescent="0.15">
      <c r="B32" s="13"/>
      <c r="C32" s="14"/>
      <c r="D32" s="14"/>
      <c r="E32" s="16"/>
      <c r="G32" s="14"/>
      <c r="H32" s="89"/>
      <c r="I32" s="15"/>
      <c r="J32" s="14"/>
      <c r="K32" s="1"/>
      <c r="L32" s="14"/>
      <c r="M32" s="89"/>
      <c r="N32" s="89"/>
      <c r="O32" s="89"/>
      <c r="P32" s="52"/>
      <c r="Q32" s="52"/>
      <c r="R32" s="52"/>
      <c r="S32" s="137"/>
      <c r="T32" s="41"/>
      <c r="U32" s="48"/>
      <c r="V32" s="42"/>
      <c r="W32" s="42"/>
      <c r="X32" s="48"/>
      <c r="Y32" s="42"/>
      <c r="Z32" s="42"/>
      <c r="AA32" s="41"/>
      <c r="AB32" s="49"/>
      <c r="AC32" s="49"/>
      <c r="AD32" s="41"/>
      <c r="AE32" s="18"/>
      <c r="AF32" s="55"/>
      <c r="AG32" s="55"/>
      <c r="AH32" s="55"/>
      <c r="AI32" s="55"/>
      <c r="AJ32" s="55"/>
      <c r="AK32" s="55"/>
      <c r="AM32" s="19"/>
      <c r="AN32" s="19"/>
      <c r="AO32" s="19"/>
    </row>
    <row r="33" spans="2:41" x14ac:dyDescent="0.15">
      <c r="B33" s="13"/>
      <c r="C33" s="14"/>
      <c r="D33" s="14"/>
      <c r="E33" s="16"/>
      <c r="F33" s="17"/>
      <c r="G33" s="14"/>
      <c r="H33" s="89"/>
      <c r="I33" s="15"/>
      <c r="J33" s="14"/>
      <c r="K33" s="1"/>
      <c r="L33" s="14"/>
      <c r="M33" s="89"/>
      <c r="N33" s="89"/>
      <c r="O33" s="89"/>
      <c r="P33" s="52"/>
      <c r="Q33" s="52"/>
      <c r="R33" s="52"/>
      <c r="S33" s="137"/>
      <c r="T33" s="41"/>
      <c r="U33" s="48"/>
      <c r="V33" s="42"/>
      <c r="W33" s="42"/>
      <c r="X33" s="48"/>
      <c r="Y33" s="42"/>
      <c r="Z33" s="42"/>
      <c r="AA33" s="41"/>
      <c r="AB33" s="49"/>
      <c r="AC33" s="49"/>
      <c r="AD33" s="41"/>
      <c r="AE33" s="18"/>
      <c r="AF33" s="55"/>
      <c r="AG33" s="55"/>
      <c r="AH33" s="55"/>
      <c r="AI33" s="55"/>
      <c r="AJ33" s="55"/>
      <c r="AK33" s="55"/>
      <c r="AM33" s="19"/>
      <c r="AN33" s="19"/>
      <c r="AO33" s="19"/>
    </row>
    <row r="34" spans="2:41" x14ac:dyDescent="0.15">
      <c r="B34" s="20"/>
      <c r="C34" s="21"/>
      <c r="D34" s="21"/>
      <c r="E34" s="23"/>
      <c r="F34" s="24"/>
      <c r="G34" s="21"/>
      <c r="H34" s="90"/>
      <c r="I34" s="22"/>
      <c r="J34" s="21"/>
      <c r="K34" s="33"/>
      <c r="L34" s="21"/>
      <c r="M34" s="90"/>
      <c r="N34" s="90"/>
      <c r="O34" s="90"/>
      <c r="P34" s="53"/>
      <c r="Q34" s="53"/>
      <c r="R34" s="53"/>
      <c r="S34" s="139"/>
      <c r="T34" s="43"/>
      <c r="U34" s="50"/>
      <c r="V34" s="44"/>
      <c r="W34" s="44"/>
      <c r="X34" s="50"/>
      <c r="Y34" s="44"/>
      <c r="Z34" s="44"/>
      <c r="AA34" s="43"/>
      <c r="AB34" s="51"/>
      <c r="AC34" s="51"/>
      <c r="AD34" s="43"/>
      <c r="AE34" s="25"/>
      <c r="AF34" s="57"/>
      <c r="AG34" s="57"/>
      <c r="AH34" s="57"/>
      <c r="AI34" s="57"/>
      <c r="AJ34" s="57"/>
      <c r="AK34" s="57"/>
      <c r="AM34" s="26"/>
      <c r="AN34" s="26"/>
      <c r="AO34" s="26"/>
    </row>
    <row r="36" spans="2:41" x14ac:dyDescent="0.15">
      <c r="F36" s="27"/>
      <c r="G36" s="27"/>
      <c r="I36" s="28"/>
      <c r="U36" s="7"/>
      <c r="V36" s="7"/>
      <c r="W36" s="7"/>
      <c r="X36" s="7"/>
      <c r="Y36" s="7"/>
      <c r="Z36" s="7"/>
    </row>
    <row r="37" spans="2:41" x14ac:dyDescent="0.15">
      <c r="B37" s="5" t="s">
        <v>15</v>
      </c>
      <c r="F37" s="27"/>
      <c r="G37" s="27"/>
      <c r="M37" s="117" t="s">
        <v>83</v>
      </c>
      <c r="N37" s="117"/>
      <c r="O37" s="117"/>
      <c r="P37" s="117"/>
      <c r="Q37" s="117"/>
      <c r="R37" s="117"/>
      <c r="S37" s="117"/>
      <c r="T37" s="117"/>
      <c r="U37" s="117"/>
      <c r="V37" s="117"/>
      <c r="W37" s="96"/>
      <c r="X37" s="97"/>
      <c r="Y37" s="97"/>
    </row>
    <row r="38" spans="2:41" x14ac:dyDescent="0.15">
      <c r="F38" s="27"/>
      <c r="G38" s="27"/>
      <c r="J38" s="104" t="s">
        <v>78</v>
      </c>
      <c r="K38" s="97"/>
      <c r="M38" s="117" t="s">
        <v>84</v>
      </c>
      <c r="N38" s="117"/>
      <c r="O38" s="117"/>
      <c r="P38" s="117"/>
      <c r="Q38" s="117"/>
      <c r="R38" s="96"/>
      <c r="S38" s="97"/>
      <c r="T38" s="97"/>
      <c r="U38" s="97"/>
      <c r="V38" s="97"/>
      <c r="W38" s="97"/>
      <c r="X38" s="97"/>
      <c r="Y38" s="97"/>
    </row>
    <row r="39" spans="2:41" s="1" customFormat="1" x14ac:dyDescent="0.15">
      <c r="C39" s="109" t="s">
        <v>80</v>
      </c>
      <c r="D39" s="30" t="s">
        <v>2</v>
      </c>
      <c r="E39" s="29" t="s">
        <v>12</v>
      </c>
      <c r="F39" s="30" t="s">
        <v>66</v>
      </c>
      <c r="G39" s="130" t="s">
        <v>81</v>
      </c>
      <c r="H39" s="131"/>
      <c r="I39" s="98" t="s">
        <v>80</v>
      </c>
      <c r="J39" s="98">
        <v>3</v>
      </c>
      <c r="K39" s="99">
        <v>5</v>
      </c>
      <c r="M39" s="118" t="s">
        <v>85</v>
      </c>
      <c r="N39" s="119">
        <v>1</v>
      </c>
      <c r="O39" s="119">
        <v>2</v>
      </c>
      <c r="P39" s="119">
        <v>3</v>
      </c>
      <c r="Q39" s="119">
        <v>4</v>
      </c>
      <c r="R39" s="119">
        <v>5</v>
      </c>
      <c r="S39" s="119">
        <v>6</v>
      </c>
      <c r="T39" s="119">
        <v>7</v>
      </c>
      <c r="U39" s="119">
        <v>8</v>
      </c>
      <c r="V39" s="119">
        <v>9</v>
      </c>
      <c r="W39" s="119">
        <v>10</v>
      </c>
      <c r="X39" s="119">
        <v>11</v>
      </c>
      <c r="Y39" s="99">
        <v>12</v>
      </c>
    </row>
    <row r="40" spans="2:41" s="1" customFormat="1" x14ac:dyDescent="0.15">
      <c r="C40" s="129">
        <v>0.5</v>
      </c>
      <c r="D40" s="127" t="s">
        <v>16</v>
      </c>
      <c r="E40" s="32">
        <v>35</v>
      </c>
      <c r="F40" s="111">
        <v>1</v>
      </c>
      <c r="G40" s="113">
        <v>0</v>
      </c>
      <c r="H40" s="114" t="s">
        <v>82</v>
      </c>
      <c r="I40" s="100">
        <v>1.5</v>
      </c>
      <c r="J40" s="101">
        <v>16</v>
      </c>
      <c r="K40" s="102">
        <v>20</v>
      </c>
      <c r="L40" s="12"/>
      <c r="M40" s="120">
        <v>1.5</v>
      </c>
      <c r="N40" s="121"/>
      <c r="O40" s="121"/>
      <c r="P40" s="121">
        <v>13</v>
      </c>
      <c r="Q40" s="122">
        <v>13.5</v>
      </c>
      <c r="R40" s="122">
        <v>15</v>
      </c>
      <c r="S40" s="122">
        <v>16</v>
      </c>
      <c r="T40" s="122"/>
      <c r="U40" s="122">
        <v>18</v>
      </c>
      <c r="V40" s="122">
        <v>21</v>
      </c>
      <c r="W40" s="122">
        <v>24</v>
      </c>
      <c r="X40" s="122"/>
      <c r="Y40" s="123"/>
    </row>
    <row r="41" spans="2:41" s="1" customFormat="1" x14ac:dyDescent="0.15">
      <c r="C41" s="110">
        <v>0.75</v>
      </c>
      <c r="D41" s="127" t="s">
        <v>17</v>
      </c>
      <c r="E41" s="34">
        <v>56</v>
      </c>
      <c r="F41" s="31">
        <v>2</v>
      </c>
      <c r="G41" s="113">
        <v>2E-3</v>
      </c>
      <c r="H41" s="102">
        <v>10</v>
      </c>
      <c r="I41" s="103">
        <v>2.5</v>
      </c>
      <c r="J41" s="101">
        <v>20</v>
      </c>
      <c r="K41" s="102">
        <v>20</v>
      </c>
      <c r="L41" s="12"/>
      <c r="M41" s="124">
        <v>2.5</v>
      </c>
      <c r="N41" s="125"/>
      <c r="O41" s="125"/>
      <c r="P41" s="125">
        <v>17.5</v>
      </c>
      <c r="Q41" s="126">
        <v>18.5</v>
      </c>
      <c r="R41" s="126">
        <v>21</v>
      </c>
      <c r="S41" s="126">
        <v>22</v>
      </c>
      <c r="T41" s="126"/>
      <c r="U41" s="126">
        <v>25</v>
      </c>
      <c r="V41" s="126">
        <v>29</v>
      </c>
      <c r="W41" s="126">
        <v>33</v>
      </c>
      <c r="X41" s="126"/>
      <c r="Y41" s="105"/>
    </row>
    <row r="42" spans="2:41" s="1" customFormat="1" x14ac:dyDescent="0.15">
      <c r="C42" s="110">
        <v>1.5</v>
      </c>
      <c r="D42" s="127" t="s">
        <v>45</v>
      </c>
      <c r="F42" s="31">
        <v>3</v>
      </c>
      <c r="G42" s="113">
        <v>10</v>
      </c>
      <c r="H42" s="102">
        <v>16</v>
      </c>
      <c r="I42" s="103">
        <v>4</v>
      </c>
      <c r="J42" s="104">
        <v>20</v>
      </c>
      <c r="K42" s="102">
        <v>25</v>
      </c>
      <c r="L42" s="12"/>
      <c r="M42" s="124">
        <v>4</v>
      </c>
      <c r="N42" s="125"/>
      <c r="O42" s="125"/>
      <c r="P42" s="125">
        <v>23</v>
      </c>
      <c r="Q42" s="126">
        <v>24</v>
      </c>
      <c r="R42" s="126">
        <v>27</v>
      </c>
      <c r="S42" s="126">
        <v>30</v>
      </c>
      <c r="T42" s="126"/>
      <c r="U42" s="126">
        <v>34</v>
      </c>
      <c r="V42" s="126">
        <v>38</v>
      </c>
      <c r="W42" s="126">
        <v>45</v>
      </c>
      <c r="X42" s="126"/>
      <c r="Y42" s="105"/>
    </row>
    <row r="43" spans="2:41" s="1" customFormat="1" x14ac:dyDescent="0.15">
      <c r="C43" s="110">
        <v>2.5</v>
      </c>
      <c r="D43" s="128" t="s">
        <v>59</v>
      </c>
      <c r="F43" s="31">
        <v>4</v>
      </c>
      <c r="G43" s="113">
        <v>16</v>
      </c>
      <c r="H43" s="102">
        <v>20</v>
      </c>
      <c r="I43" s="103">
        <v>6</v>
      </c>
      <c r="J43" s="104">
        <v>25</v>
      </c>
      <c r="K43" s="102">
        <v>25</v>
      </c>
      <c r="M43" s="124">
        <v>6</v>
      </c>
      <c r="N43" s="125"/>
      <c r="O43" s="125"/>
      <c r="P43" s="125">
        <v>30</v>
      </c>
      <c r="Q43" s="126">
        <v>32</v>
      </c>
      <c r="R43" s="126">
        <v>36</v>
      </c>
      <c r="S43" s="126">
        <v>37</v>
      </c>
      <c r="T43" s="126"/>
      <c r="U43" s="126">
        <v>44</v>
      </c>
      <c r="V43" s="126">
        <v>49</v>
      </c>
      <c r="W43" s="126">
        <v>57</v>
      </c>
      <c r="X43" s="126"/>
      <c r="Y43" s="105"/>
    </row>
    <row r="44" spans="2:41" s="1" customFormat="1" x14ac:dyDescent="0.15">
      <c r="C44" s="110">
        <v>4</v>
      </c>
      <c r="D44" s="112"/>
      <c r="F44" s="31">
        <v>5</v>
      </c>
      <c r="G44" s="113">
        <v>20</v>
      </c>
      <c r="H44" s="102">
        <v>25</v>
      </c>
      <c r="I44" s="103">
        <v>10</v>
      </c>
      <c r="J44" s="104">
        <v>25</v>
      </c>
      <c r="K44" s="102">
        <v>32</v>
      </c>
      <c r="M44" s="124">
        <v>10</v>
      </c>
      <c r="N44" s="125"/>
      <c r="O44" s="125"/>
      <c r="P44" s="125">
        <v>40</v>
      </c>
      <c r="Q44" s="126">
        <v>44</v>
      </c>
      <c r="R44" s="126">
        <v>50</v>
      </c>
      <c r="S44" s="126">
        <v>52</v>
      </c>
      <c r="T44" s="126"/>
      <c r="U44" s="126">
        <v>60</v>
      </c>
      <c r="V44" s="126">
        <v>68</v>
      </c>
      <c r="W44" s="126">
        <v>76</v>
      </c>
      <c r="X44" s="126"/>
      <c r="Y44" s="105"/>
    </row>
    <row r="45" spans="2:41" s="1" customFormat="1" x14ac:dyDescent="0.15">
      <c r="C45" s="110">
        <v>6</v>
      </c>
      <c r="D45" s="112"/>
      <c r="F45" s="31">
        <v>6</v>
      </c>
      <c r="G45" s="113">
        <v>25</v>
      </c>
      <c r="H45" s="102">
        <v>32</v>
      </c>
      <c r="I45" s="103">
        <v>16</v>
      </c>
      <c r="J45" s="104">
        <v>32</v>
      </c>
      <c r="K45" s="102">
        <v>40</v>
      </c>
      <c r="M45" s="124">
        <v>16</v>
      </c>
      <c r="N45" s="125">
        <v>97</v>
      </c>
      <c r="O45" s="125">
        <v>125</v>
      </c>
      <c r="P45" s="125">
        <v>54</v>
      </c>
      <c r="Q45" s="126">
        <v>59</v>
      </c>
      <c r="R45" s="126">
        <v>66</v>
      </c>
      <c r="S45" s="126">
        <v>70</v>
      </c>
      <c r="T45" s="126"/>
      <c r="U45" s="126">
        <v>80</v>
      </c>
      <c r="V45" s="126">
        <v>91</v>
      </c>
      <c r="W45" s="126">
        <v>105</v>
      </c>
      <c r="X45" s="126"/>
      <c r="Y45" s="105"/>
    </row>
    <row r="46" spans="2:41" s="1" customFormat="1" x14ac:dyDescent="0.15">
      <c r="C46" s="110">
        <v>10</v>
      </c>
      <c r="D46" s="112"/>
      <c r="F46" s="31">
        <v>7</v>
      </c>
      <c r="G46" s="113">
        <v>32</v>
      </c>
      <c r="H46" s="102">
        <v>40</v>
      </c>
      <c r="I46" s="103">
        <v>25</v>
      </c>
      <c r="J46" s="104">
        <v>40</v>
      </c>
      <c r="K46" s="102">
        <v>50</v>
      </c>
      <c r="M46" s="124">
        <v>25</v>
      </c>
      <c r="N46" s="125">
        <v>125</v>
      </c>
      <c r="O46" s="125">
        <v>160</v>
      </c>
      <c r="P46" s="125">
        <v>70</v>
      </c>
      <c r="Q46" s="126">
        <v>77</v>
      </c>
      <c r="R46" s="126">
        <v>84</v>
      </c>
      <c r="S46" s="126">
        <v>88</v>
      </c>
      <c r="T46" s="126"/>
      <c r="U46" s="126">
        <v>106</v>
      </c>
      <c r="V46" s="126">
        <v>116</v>
      </c>
      <c r="W46" s="126">
        <v>123</v>
      </c>
      <c r="X46" s="126"/>
      <c r="Y46" s="105"/>
    </row>
    <row r="47" spans="2:41" s="1" customFormat="1" x14ac:dyDescent="0.15">
      <c r="C47" s="110">
        <v>16</v>
      </c>
      <c r="D47" s="112"/>
      <c r="F47" s="31">
        <v>8</v>
      </c>
      <c r="G47" s="113">
        <v>40</v>
      </c>
      <c r="H47" s="102">
        <v>50</v>
      </c>
      <c r="I47" s="103">
        <v>35</v>
      </c>
      <c r="J47" s="104">
        <v>40</v>
      </c>
      <c r="K47" s="102">
        <v>50</v>
      </c>
      <c r="M47" s="124">
        <v>35</v>
      </c>
      <c r="N47" s="125">
        <v>150</v>
      </c>
      <c r="O47" s="125">
        <v>190</v>
      </c>
      <c r="P47" s="125">
        <v>86</v>
      </c>
      <c r="Q47" s="126">
        <v>96</v>
      </c>
      <c r="R47" s="126">
        <v>104</v>
      </c>
      <c r="S47" s="126">
        <v>110</v>
      </c>
      <c r="T47" s="126"/>
      <c r="U47" s="126">
        <v>131</v>
      </c>
      <c r="V47" s="126">
        <v>144</v>
      </c>
      <c r="W47" s="126">
        <v>154</v>
      </c>
      <c r="X47" s="126"/>
      <c r="Y47" s="105"/>
    </row>
    <row r="48" spans="2:41" s="1" customFormat="1" x14ac:dyDescent="0.15">
      <c r="C48" s="110">
        <v>25</v>
      </c>
      <c r="D48" s="112"/>
      <c r="F48" s="31">
        <v>9</v>
      </c>
      <c r="G48" s="113">
        <v>50</v>
      </c>
      <c r="H48" s="102">
        <v>63</v>
      </c>
      <c r="I48" s="103">
        <v>50</v>
      </c>
      <c r="J48" s="104">
        <v>50</v>
      </c>
      <c r="K48" s="102">
        <v>63</v>
      </c>
      <c r="M48" s="124">
        <v>50</v>
      </c>
      <c r="N48" s="125">
        <v>180</v>
      </c>
      <c r="O48" s="125">
        <v>230</v>
      </c>
      <c r="P48" s="125">
        <v>103</v>
      </c>
      <c r="Q48" s="126">
        <v>117</v>
      </c>
      <c r="R48" s="126">
        <v>125</v>
      </c>
      <c r="S48" s="126">
        <v>133</v>
      </c>
      <c r="T48" s="126"/>
      <c r="U48" s="126">
        <v>159</v>
      </c>
      <c r="V48" s="126">
        <v>175</v>
      </c>
      <c r="W48" s="126">
        <v>188</v>
      </c>
      <c r="X48" s="126"/>
      <c r="Y48" s="105"/>
    </row>
    <row r="49" spans="3:25" s="1" customFormat="1" x14ac:dyDescent="0.15">
      <c r="C49" s="110">
        <v>35</v>
      </c>
      <c r="D49" s="112"/>
      <c r="F49" s="31">
        <v>10</v>
      </c>
      <c r="G49" s="113">
        <v>63</v>
      </c>
      <c r="H49" s="102">
        <v>80</v>
      </c>
      <c r="I49" s="103">
        <v>70</v>
      </c>
      <c r="J49" s="104">
        <v>63</v>
      </c>
      <c r="K49" s="102">
        <v>63</v>
      </c>
      <c r="M49" s="124">
        <v>70</v>
      </c>
      <c r="N49" s="125">
        <v>220</v>
      </c>
      <c r="O49" s="125">
        <v>280</v>
      </c>
      <c r="P49" s="125"/>
      <c r="Q49" s="126">
        <v>149</v>
      </c>
      <c r="R49" s="126">
        <v>160</v>
      </c>
      <c r="S49" s="126">
        <v>171</v>
      </c>
      <c r="T49" s="126"/>
      <c r="U49" s="126">
        <v>202</v>
      </c>
      <c r="V49" s="126">
        <v>224</v>
      </c>
      <c r="W49" s="126">
        <v>244</v>
      </c>
      <c r="X49" s="126"/>
      <c r="Y49" s="105"/>
    </row>
    <row r="50" spans="3:25" s="1" customFormat="1" x14ac:dyDescent="0.15">
      <c r="C50" s="110">
        <v>50</v>
      </c>
      <c r="D50" s="112"/>
      <c r="F50" s="31">
        <v>11</v>
      </c>
      <c r="G50" s="113">
        <v>80</v>
      </c>
      <c r="H50" s="102">
        <v>100</v>
      </c>
      <c r="I50" s="103">
        <v>95</v>
      </c>
      <c r="J50" s="104">
        <v>63</v>
      </c>
      <c r="K50" s="102">
        <v>75</v>
      </c>
      <c r="M50" s="124">
        <v>95</v>
      </c>
      <c r="N50" s="125">
        <v>260</v>
      </c>
      <c r="O50" s="125">
        <v>335</v>
      </c>
      <c r="P50" s="125"/>
      <c r="Q50" s="126">
        <v>180</v>
      </c>
      <c r="R50" s="126">
        <v>194</v>
      </c>
      <c r="S50" s="126">
        <v>207</v>
      </c>
      <c r="T50" s="126"/>
      <c r="U50" s="126">
        <v>245</v>
      </c>
      <c r="V50" s="126">
        <v>271</v>
      </c>
      <c r="W50" s="126">
        <v>296</v>
      </c>
      <c r="X50" s="126"/>
      <c r="Y50" s="105"/>
    </row>
    <row r="51" spans="3:25" s="1" customFormat="1" x14ac:dyDescent="0.15">
      <c r="C51" s="110">
        <v>70</v>
      </c>
      <c r="D51" s="112"/>
      <c r="F51" s="35">
        <v>12</v>
      </c>
      <c r="G51" s="113">
        <v>100</v>
      </c>
      <c r="H51" s="102">
        <v>125</v>
      </c>
      <c r="I51" s="103">
        <v>120</v>
      </c>
      <c r="J51" s="104">
        <v>75</v>
      </c>
      <c r="K51" s="102" t="s">
        <v>79</v>
      </c>
      <c r="M51" s="124">
        <v>120</v>
      </c>
      <c r="N51" s="125">
        <v>295</v>
      </c>
      <c r="O51" s="125">
        <v>380</v>
      </c>
      <c r="P51" s="125"/>
      <c r="Q51" s="126">
        <v>208</v>
      </c>
      <c r="R51" s="126">
        <v>225</v>
      </c>
      <c r="S51" s="126">
        <v>240</v>
      </c>
      <c r="T51" s="126"/>
      <c r="U51" s="126">
        <v>284</v>
      </c>
      <c r="V51" s="126">
        <v>314</v>
      </c>
      <c r="W51" s="126">
        <v>348</v>
      </c>
      <c r="X51" s="126"/>
      <c r="Y51" s="105"/>
    </row>
    <row r="52" spans="3:25" s="1" customFormat="1" x14ac:dyDescent="0.15">
      <c r="C52" s="110">
        <v>95</v>
      </c>
      <c r="D52" s="112"/>
      <c r="G52" s="113">
        <v>125</v>
      </c>
      <c r="H52" s="102">
        <v>160</v>
      </c>
      <c r="I52" s="103">
        <v>150</v>
      </c>
      <c r="J52" s="104">
        <v>75</v>
      </c>
      <c r="K52" s="105" t="s">
        <v>79</v>
      </c>
      <c r="M52" s="124">
        <v>150</v>
      </c>
      <c r="N52" s="125">
        <v>330</v>
      </c>
      <c r="O52" s="125">
        <v>425</v>
      </c>
      <c r="P52" s="125"/>
      <c r="Q52" s="126">
        <v>236</v>
      </c>
      <c r="R52" s="126">
        <v>260</v>
      </c>
      <c r="S52" s="126">
        <v>278</v>
      </c>
      <c r="T52" s="126"/>
      <c r="U52" s="126">
        <v>338</v>
      </c>
      <c r="V52" s="126">
        <v>363</v>
      </c>
      <c r="W52" s="126">
        <v>404</v>
      </c>
      <c r="X52" s="126"/>
      <c r="Y52" s="105"/>
    </row>
    <row r="53" spans="3:25" s="1" customFormat="1" x14ac:dyDescent="0.15">
      <c r="C53" s="110">
        <v>120</v>
      </c>
      <c r="D53" s="112"/>
      <c r="G53" s="113">
        <v>160</v>
      </c>
      <c r="H53" s="102">
        <v>250</v>
      </c>
      <c r="I53" s="103">
        <v>185</v>
      </c>
      <c r="J53" s="104" t="s">
        <v>79</v>
      </c>
      <c r="K53" s="105" t="s">
        <v>79</v>
      </c>
      <c r="M53" s="124">
        <v>185</v>
      </c>
      <c r="N53" s="125">
        <v>375</v>
      </c>
      <c r="O53" s="125">
        <v>480</v>
      </c>
      <c r="P53" s="125"/>
      <c r="Q53" s="126">
        <v>268</v>
      </c>
      <c r="R53" s="126">
        <v>297</v>
      </c>
      <c r="S53" s="126">
        <v>317</v>
      </c>
      <c r="T53" s="126"/>
      <c r="U53" s="126">
        <v>386</v>
      </c>
      <c r="V53" s="126">
        <v>415</v>
      </c>
      <c r="W53" s="126">
        <v>464</v>
      </c>
      <c r="X53" s="126"/>
      <c r="Y53" s="105"/>
    </row>
    <row r="54" spans="3:25" s="1" customFormat="1" x14ac:dyDescent="0.15">
      <c r="C54" s="110">
        <v>150</v>
      </c>
      <c r="D54" s="112"/>
      <c r="G54" s="113">
        <v>250</v>
      </c>
      <c r="H54" s="102">
        <v>400</v>
      </c>
      <c r="I54" s="106">
        <v>240</v>
      </c>
      <c r="J54" s="107" t="s">
        <v>79</v>
      </c>
      <c r="K54" s="108" t="s">
        <v>79</v>
      </c>
      <c r="M54" s="124">
        <v>240</v>
      </c>
      <c r="N54" s="125">
        <v>430</v>
      </c>
      <c r="O54" s="125">
        <v>550</v>
      </c>
      <c r="P54" s="125"/>
      <c r="Q54" s="126">
        <v>315</v>
      </c>
      <c r="R54" s="126">
        <v>350</v>
      </c>
      <c r="S54" s="126">
        <v>374</v>
      </c>
      <c r="T54" s="126"/>
      <c r="U54" s="126">
        <v>455</v>
      </c>
      <c r="V54" s="126">
        <v>490</v>
      </c>
      <c r="W54" s="126">
        <v>552</v>
      </c>
      <c r="X54" s="126"/>
      <c r="Y54" s="105"/>
    </row>
    <row r="55" spans="3:25" s="1" customFormat="1" x14ac:dyDescent="0.15">
      <c r="C55" s="110">
        <v>185</v>
      </c>
      <c r="D55" s="112"/>
      <c r="G55" s="113">
        <v>400</v>
      </c>
      <c r="H55" s="102">
        <v>630</v>
      </c>
      <c r="M55" s="124">
        <v>300</v>
      </c>
      <c r="N55" s="125">
        <v>485</v>
      </c>
      <c r="O55" s="125">
        <v>620</v>
      </c>
      <c r="P55" s="125"/>
      <c r="Q55" s="126">
        <v>360</v>
      </c>
      <c r="R55" s="126">
        <v>404</v>
      </c>
      <c r="S55" s="126">
        <v>423</v>
      </c>
      <c r="T55" s="126"/>
      <c r="U55" s="126">
        <v>524</v>
      </c>
      <c r="V55" s="126">
        <v>565</v>
      </c>
      <c r="W55" s="126">
        <v>640</v>
      </c>
      <c r="X55" s="126"/>
      <c r="Y55" s="105"/>
    </row>
    <row r="56" spans="3:25" s="1" customFormat="1" x14ac:dyDescent="0.15">
      <c r="C56" s="110">
        <v>240</v>
      </c>
      <c r="D56" s="112"/>
      <c r="G56" s="113">
        <v>630</v>
      </c>
      <c r="H56" s="102">
        <v>800</v>
      </c>
      <c r="M56" s="124">
        <v>400</v>
      </c>
      <c r="N56" s="125">
        <v>550</v>
      </c>
      <c r="O56" s="125">
        <v>705</v>
      </c>
      <c r="P56" s="125"/>
      <c r="Q56" s="125"/>
      <c r="R56" s="104"/>
      <c r="S56" s="104"/>
      <c r="T56" s="126"/>
      <c r="U56" s="126"/>
      <c r="V56" s="126"/>
      <c r="W56" s="126"/>
      <c r="X56" s="126"/>
      <c r="Y56" s="105"/>
    </row>
    <row r="57" spans="3:25" s="1" customFormat="1" x14ac:dyDescent="0.15">
      <c r="C57" s="31">
        <v>300</v>
      </c>
      <c r="G57" s="113">
        <v>800</v>
      </c>
      <c r="H57" s="102">
        <v>1000</v>
      </c>
      <c r="M57" s="124">
        <v>500</v>
      </c>
      <c r="N57" s="125">
        <v>615</v>
      </c>
      <c r="O57" s="125">
        <v>790</v>
      </c>
      <c r="P57" s="125"/>
      <c r="Q57" s="125"/>
      <c r="R57" s="104"/>
      <c r="S57" s="104"/>
      <c r="T57" s="126"/>
      <c r="U57" s="126"/>
      <c r="V57" s="126"/>
      <c r="W57" s="126"/>
      <c r="X57" s="126"/>
      <c r="Y57" s="105"/>
    </row>
    <row r="58" spans="3:25" s="1" customFormat="1" x14ac:dyDescent="0.15">
      <c r="C58" s="31">
        <v>400</v>
      </c>
      <c r="G58" s="113">
        <v>1000</v>
      </c>
      <c r="H58" s="102">
        <v>1250</v>
      </c>
      <c r="M58" s="132">
        <v>630</v>
      </c>
      <c r="N58" s="133">
        <v>690</v>
      </c>
      <c r="O58" s="133">
        <v>885</v>
      </c>
      <c r="P58" s="134"/>
      <c r="Q58" s="134"/>
      <c r="R58" s="107"/>
      <c r="S58" s="135"/>
      <c r="T58" s="135"/>
      <c r="U58" s="135"/>
      <c r="V58" s="135"/>
      <c r="W58" s="135"/>
      <c r="X58" s="135"/>
      <c r="Y58" s="108"/>
    </row>
    <row r="59" spans="3:25" s="1" customFormat="1" x14ac:dyDescent="0.15">
      <c r="C59" s="31">
        <v>500</v>
      </c>
      <c r="G59" s="113">
        <v>1250</v>
      </c>
      <c r="H59" s="102">
        <v>1600</v>
      </c>
    </row>
    <row r="60" spans="3:25" s="1" customFormat="1" x14ac:dyDescent="0.15">
      <c r="C60" s="35">
        <v>630</v>
      </c>
      <c r="G60" s="115">
        <v>1600</v>
      </c>
      <c r="H60" s="116">
        <v>2500</v>
      </c>
    </row>
  </sheetData>
  <sheetProtection selectLockedCells="1"/>
  <mergeCells count="13">
    <mergeCell ref="AA7:AB7"/>
    <mergeCell ref="V12:AD12"/>
    <mergeCell ref="AF13:AG13"/>
    <mergeCell ref="AH13:AI13"/>
    <mergeCell ref="AJ13:AK13"/>
    <mergeCell ref="AA13:AB13"/>
    <mergeCell ref="AF12:AK12"/>
    <mergeCell ref="AC13:AD13"/>
    <mergeCell ref="P12:R12"/>
    <mergeCell ref="P13:R13"/>
    <mergeCell ref="Y13:Z13"/>
    <mergeCell ref="S12:U12"/>
    <mergeCell ref="S13:U13"/>
  </mergeCells>
  <phoneticPr fontId="0" type="noConversion"/>
  <conditionalFormatting sqref="O15:O26">
    <cfRule type="cellIs" dxfId="3" priority="3" operator="lessThan">
      <formula>0</formula>
    </cfRule>
  </conditionalFormatting>
  <conditionalFormatting sqref="P15:R30 V15:X30">
    <cfRule type="cellIs" priority="10" stopIfTrue="1" operator="greaterThan">
      <formula>$F$6</formula>
    </cfRule>
  </conditionalFormatting>
  <conditionalFormatting sqref="N15:N34">
    <cfRule type="cellIs" dxfId="2" priority="1" operator="lessThan">
      <formula>H15</formula>
    </cfRule>
  </conditionalFormatting>
  <dataValidations count="7">
    <dataValidation type="list" allowBlank="1" showInputMessage="1" showErrorMessage="1" sqref="S30 L15:L30" xr:uid="{C9FF96F7-12D1-0840-A615-31DDB364B2C2}">
      <formula1>SECC_NORM</formula1>
    </dataValidation>
    <dataValidation type="list" sqref="E32 E27:E30" xr:uid="{71CA00EF-1F64-0147-8CAA-3F806094BE76}">
      <formula1>$L$40:$L$43</formula1>
    </dataValidation>
    <dataValidation sqref="E15:E26" xr:uid="{F2D8FE42-98DE-2649-939A-48FCDF1683A9}"/>
    <dataValidation type="list" allowBlank="1" showInputMessage="1" showErrorMessage="1" sqref="J15:J30" xr:uid="{82353904-CDC7-174E-83F3-C84C13B3A17C}">
      <formula1>$D$40:$D$43</formula1>
    </dataValidation>
    <dataValidation type="list" allowBlank="1" showInputMessage="1" showErrorMessage="1" sqref="AB8:AB10" xr:uid="{3093053F-3556-BC4A-A240-A7CDE32F0F0B}">
      <formula1>#REF!</formula1>
    </dataValidation>
    <dataValidation type="list" allowBlank="1" showInputMessage="1" showErrorMessage="1" sqref="F5" xr:uid="{88FC5B5E-3B16-5042-A0BE-FAFDE79305E7}">
      <formula1>$E$40:$E$41</formula1>
    </dataValidation>
    <dataValidation type="list" allowBlank="1" showInputMessage="1" showErrorMessage="1" sqref="K15:K34" xr:uid="{F9DE1584-82B8-664A-96EE-C14B705A2517}">
      <formula1>$F$40:$F$51</formula1>
    </dataValidation>
  </dataValidations>
  <pageMargins left="0.6692913385826772" right="0.39370078740157483" top="1.0236220472440944" bottom="0.43307086614173229" header="0.39370078740157483" footer="0.23622047244094491"/>
  <pageSetup paperSize="9" orientation="landscape" horizontalDpi="75" verticalDpi="75"/>
  <headerFooter alignWithMargins="0">
    <oddHeader>&amp;C&amp;K000000Electricidad USAL</oddHeader>
    <oddFooter>&amp;C&amp;8&amp;K000000&amp;F&amp;R&amp;8&amp;K000000Verificación de secciones</oddFooter>
  </headerFooter>
  <colBreaks count="1" manualBreakCount="1">
    <brk id="15" max="33" man="1"/>
  </colBreaks>
  <cellWatches>
    <cellWatch r="J11"/>
  </cellWatches>
  <ignoredErrors>
    <ignoredError sqref="N26:O26 N15:O25 H15:H26 M15:M26 F24:F26" unlockedFormula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30</vt:i4>
      </vt:variant>
    </vt:vector>
  </HeadingPairs>
  <TitlesOfParts>
    <vt:vector size="31" baseType="lpstr">
      <vt:lpstr>Electricidad USAL</vt:lpstr>
      <vt:lpstr>'Electricidad USAL'!Área_de_impresión</vt:lpstr>
      <vt:lpstr>eR_S</vt:lpstr>
      <vt:lpstr>eR_T</vt:lpstr>
      <vt:lpstr>eRS_Im</vt:lpstr>
      <vt:lpstr>eRS_Re</vt:lpstr>
      <vt:lpstr>eRT_Im</vt:lpstr>
      <vt:lpstr>eRT_Re</vt:lpstr>
      <vt:lpstr>eS_T</vt:lpstr>
      <vt:lpstr>eST_Im</vt:lpstr>
      <vt:lpstr>eST_Re</vt:lpstr>
      <vt:lpstr>FASES</vt:lpstr>
      <vt:lpstr>FIN</vt:lpstr>
      <vt:lpstr>I_NOM_Im</vt:lpstr>
      <vt:lpstr>I_NOM_Re</vt:lpstr>
      <vt:lpstr>Imax_RBT</vt:lpstr>
      <vt:lpstr>INI</vt:lpstr>
      <vt:lpstr>IR_Im</vt:lpstr>
      <vt:lpstr>IR_Re</vt:lpstr>
      <vt:lpstr>IS_Im</vt:lpstr>
      <vt:lpstr>IS_Re</vt:lpstr>
      <vt:lpstr>IT_Im</vt:lpstr>
      <vt:lpstr>IT_Re</vt:lpstr>
      <vt:lpstr>LONG</vt:lpstr>
      <vt:lpstr>P_NOM</vt:lpstr>
      <vt:lpstr>PI</vt:lpstr>
      <vt:lpstr>Protecciones</vt:lpstr>
      <vt:lpstr>SECC</vt:lpstr>
      <vt:lpstr>SECC_NORM</vt:lpstr>
      <vt:lpstr>'Electricidad USAL'!Títulos_a_imprimir</vt:lpstr>
      <vt:lpstr>TUBOS</vt:lpstr>
    </vt:vector>
  </TitlesOfParts>
  <Company>STS Proyectos de ingeniería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Ingeniería</dc:creator>
  <cp:lastModifiedBy>NRM</cp:lastModifiedBy>
  <cp:lastPrinted>2026-07-24T09:04:10Z</cp:lastPrinted>
  <dcterms:created xsi:type="dcterms:W3CDTF">2003-11-01T21:09:29Z</dcterms:created>
  <dcterms:modified xsi:type="dcterms:W3CDTF">2026-07-24T09:04:58Z</dcterms:modified>
</cp:coreProperties>
</file>